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ESOR FINANCIERO\Desktop\ACCESO 2022\noviembre\"/>
    </mc:Choice>
  </mc:AlternateContent>
  <xr:revisionPtr revIDLastSave="0" documentId="8_{57EC6B39-4748-49A5-90B2-DA2351F9342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GRESOS Y EGRESOS" sheetId="1" r:id="rId1"/>
    <sheet name="TRANSFERENCIA Y MODIFICACIONES" sheetId="2" r:id="rId2"/>
  </sheets>
  <externalReferences>
    <externalReference r:id="rId3"/>
  </externalReferences>
  <definedNames>
    <definedName name="_xlnm.Print_Area" localSheetId="0">'INGRESOS Y EGRESOS'!$B$36:$S$139</definedName>
    <definedName name="_xlnm.Print_Area" localSheetId="1">'TRANSFERENCIA Y MODIFICACIONES'!$A$35:$G$142</definedName>
    <definedName name="_xlnm.Print_Titles" localSheetId="0">'INGRESOS Y EGRESOS'!$49:$51</definedName>
    <definedName name="_xlnm.Print_Titles" localSheetId="1">'TRANSFERENCIA Y MODIFICACIONES'!$51:$53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3" i="1" l="1"/>
  <c r="Q125" i="1"/>
  <c r="Q112" i="1"/>
  <c r="Q104" i="1"/>
  <c r="S104" i="1" s="1"/>
  <c r="Q101" i="1"/>
  <c r="Q96" i="1"/>
  <c r="Q95" i="1"/>
  <c r="Q94" i="1"/>
  <c r="S94" i="1" s="1"/>
  <c r="Q93" i="1"/>
  <c r="Q91" i="1"/>
  <c r="Q89" i="1"/>
  <c r="Q87" i="1"/>
  <c r="Q85" i="1"/>
  <c r="Q73" i="1"/>
  <c r="Q72" i="1"/>
  <c r="S72" i="1" s="1"/>
  <c r="Q71" i="1"/>
  <c r="Q65" i="1"/>
  <c r="Q57" i="1"/>
  <c r="Q55" i="1"/>
  <c r="Q54" i="1"/>
  <c r="Q53" i="1"/>
  <c r="Q52" i="1"/>
  <c r="S96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3" i="1"/>
  <c r="S102" i="1"/>
  <c r="S101" i="1"/>
  <c r="S100" i="1"/>
  <c r="S99" i="1"/>
  <c r="S98" i="1"/>
  <c r="S97" i="1"/>
  <c r="S95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R138" i="1"/>
  <c r="R109" i="1"/>
  <c r="R101" i="1"/>
  <c r="R93" i="1"/>
  <c r="R91" i="1"/>
  <c r="R85" i="1"/>
  <c r="R71" i="1"/>
  <c r="S31" i="1"/>
  <c r="S30" i="1"/>
  <c r="S29" i="1"/>
  <c r="S28" i="1"/>
  <c r="S26" i="1"/>
  <c r="S23" i="1"/>
  <c r="S22" i="1"/>
  <c r="R33" i="1"/>
  <c r="Q20" i="1"/>
  <c r="P120" i="1"/>
  <c r="P100" i="1"/>
  <c r="P93" i="1"/>
  <c r="P91" i="1"/>
  <c r="P89" i="1"/>
  <c r="P85" i="1"/>
  <c r="P71" i="1"/>
  <c r="P57" i="1"/>
  <c r="P55" i="1"/>
  <c r="P54" i="1"/>
  <c r="P53" i="1"/>
  <c r="P52" i="1"/>
  <c r="Q138" i="1" l="1"/>
  <c r="P138" i="1"/>
  <c r="Q33" i="1"/>
  <c r="P21" i="1" l="1"/>
  <c r="S21" i="1" s="1"/>
  <c r="P20" i="1"/>
  <c r="O33" i="1" l="1"/>
  <c r="P33" i="1"/>
  <c r="O100" i="1" l="1"/>
  <c r="O93" i="1"/>
  <c r="O91" i="1"/>
  <c r="O85" i="1"/>
  <c r="O76" i="1"/>
  <c r="O71" i="1"/>
  <c r="O70" i="1"/>
  <c r="O55" i="1"/>
  <c r="O54" i="1"/>
  <c r="O53" i="1"/>
  <c r="O52" i="1"/>
  <c r="O138" i="1" l="1"/>
  <c r="N133" i="1"/>
  <c r="N100" i="1"/>
  <c r="N93" i="1"/>
  <c r="N91" i="1"/>
  <c r="N71" i="1"/>
  <c r="N55" i="1"/>
  <c r="N54" i="1"/>
  <c r="N53" i="1"/>
  <c r="N52" i="1"/>
  <c r="N32" i="1"/>
  <c r="N20" i="1"/>
  <c r="N33" i="1" s="1"/>
  <c r="N138" i="1" l="1"/>
  <c r="M33" i="1"/>
  <c r="M100" i="1"/>
  <c r="M93" i="1"/>
  <c r="M91" i="1"/>
  <c r="M85" i="1"/>
  <c r="M76" i="1"/>
  <c r="M71" i="1"/>
  <c r="M70" i="1"/>
  <c r="M65" i="1"/>
  <c r="M55" i="1"/>
  <c r="M54" i="1"/>
  <c r="M53" i="1"/>
  <c r="M52" i="1"/>
  <c r="M138" i="1" l="1"/>
  <c r="C123" i="2"/>
  <c r="C60" i="2"/>
  <c r="E32" i="2"/>
  <c r="D32" i="2"/>
  <c r="C19" i="2"/>
  <c r="C32" i="2" s="1"/>
  <c r="F18" i="2"/>
  <c r="F32" i="2" s="1"/>
  <c r="G127" i="1"/>
  <c r="G126" i="1"/>
  <c r="G125" i="1"/>
  <c r="G124" i="1"/>
  <c r="G123" i="1"/>
  <c r="G122" i="1"/>
  <c r="G121" i="1"/>
  <c r="G119" i="1"/>
  <c r="G118" i="1"/>
  <c r="G117" i="1"/>
  <c r="F19" i="1"/>
  <c r="L121" i="1"/>
  <c r="L103" i="1"/>
  <c r="L100" i="1"/>
  <c r="L94" i="1"/>
  <c r="L93" i="1"/>
  <c r="L91" i="1"/>
  <c r="L89" i="1"/>
  <c r="L85" i="1"/>
  <c r="L76" i="1"/>
  <c r="L71" i="1"/>
  <c r="L57" i="1"/>
  <c r="L55" i="1"/>
  <c r="L54" i="1"/>
  <c r="L53" i="1"/>
  <c r="L52" i="1"/>
  <c r="L25" i="1"/>
  <c r="S25" i="1" s="1"/>
  <c r="L24" i="1"/>
  <c r="S24" i="1" s="1"/>
  <c r="L33" i="1" l="1"/>
  <c r="L138" i="1"/>
  <c r="K100" i="1"/>
  <c r="K95" i="1"/>
  <c r="K93" i="1"/>
  <c r="K91" i="1"/>
  <c r="K90" i="1"/>
  <c r="K89" i="1"/>
  <c r="K85" i="1"/>
  <c r="K78" i="1"/>
  <c r="K76" i="1"/>
  <c r="K71" i="1"/>
  <c r="K65" i="1"/>
  <c r="K55" i="1"/>
  <c r="K54" i="1"/>
  <c r="K53" i="1"/>
  <c r="K52" i="1"/>
  <c r="K32" i="1"/>
  <c r="S32" i="1" s="1"/>
  <c r="K33" i="1"/>
  <c r="K138" i="1" l="1"/>
  <c r="J106" i="1"/>
  <c r="J103" i="1"/>
  <c r="J100" i="1"/>
  <c r="J93" i="1"/>
  <c r="J91" i="1"/>
  <c r="J89" i="1"/>
  <c r="J85" i="1"/>
  <c r="J82" i="1"/>
  <c r="J76" i="1"/>
  <c r="J71" i="1"/>
  <c r="J65" i="1"/>
  <c r="J55" i="1"/>
  <c r="J54" i="1"/>
  <c r="J53" i="1"/>
  <c r="J52" i="1"/>
  <c r="J27" i="1"/>
  <c r="S27" i="1" s="1"/>
  <c r="J20" i="1"/>
  <c r="S20" i="1" s="1"/>
  <c r="S33" i="1" l="1"/>
  <c r="J138" i="1"/>
  <c r="J33" i="1"/>
  <c r="F141" i="2"/>
  <c r="E141" i="2"/>
  <c r="D141" i="2"/>
  <c r="G137" i="2"/>
  <c r="G136" i="2"/>
  <c r="G130" i="2"/>
  <c r="G129" i="2"/>
  <c r="G128" i="2"/>
  <c r="G127" i="2"/>
  <c r="G126" i="2"/>
  <c r="G124" i="2"/>
  <c r="G123" i="2"/>
  <c r="G122" i="2"/>
  <c r="G121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C141" i="2"/>
  <c r="G59" i="2"/>
  <c r="G58" i="2"/>
  <c r="G57" i="2"/>
  <c r="G56" i="2"/>
  <c r="G55" i="2"/>
  <c r="G60" i="2" l="1"/>
  <c r="G141" i="2" s="1"/>
  <c r="F138" i="1"/>
  <c r="E138" i="1"/>
  <c r="D138" i="1"/>
  <c r="C120" i="1"/>
  <c r="G120" i="1" s="1"/>
  <c r="C57" i="1"/>
  <c r="I124" i="1"/>
  <c r="I107" i="1"/>
  <c r="I100" i="1"/>
  <c r="I96" i="1"/>
  <c r="I93" i="1"/>
  <c r="I91" i="1"/>
  <c r="I85" i="1"/>
  <c r="I76" i="1"/>
  <c r="I71" i="1"/>
  <c r="I67" i="1"/>
  <c r="I65" i="1"/>
  <c r="I55" i="1"/>
  <c r="I54" i="1"/>
  <c r="I53" i="1"/>
  <c r="I52" i="1"/>
  <c r="I33" i="1"/>
  <c r="C138" i="1" l="1"/>
  <c r="I138" i="1"/>
  <c r="A91" i="2"/>
  <c r="G31" i="2"/>
  <c r="G29" i="2"/>
  <c r="G28" i="2"/>
  <c r="G27" i="2"/>
  <c r="G26" i="2"/>
  <c r="G25" i="2"/>
  <c r="G24" i="2"/>
  <c r="G23" i="2"/>
  <c r="G22" i="2"/>
  <c r="G21" i="2"/>
  <c r="G20" i="2"/>
  <c r="G19" i="2"/>
  <c r="G32" i="2" l="1"/>
  <c r="G134" i="1"/>
  <c r="H133" i="1"/>
  <c r="G133" i="1"/>
  <c r="H125" i="1"/>
  <c r="H119" i="1"/>
  <c r="H118" i="1"/>
  <c r="G116" i="1"/>
  <c r="G115" i="1"/>
  <c r="G114" i="1"/>
  <c r="G113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1" i="1"/>
  <c r="G90" i="1"/>
  <c r="G89" i="1"/>
  <c r="G88" i="1"/>
  <c r="A88" i="1"/>
  <c r="G87" i="1"/>
  <c r="H85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H60" i="1"/>
  <c r="G60" i="1"/>
  <c r="H59" i="1"/>
  <c r="G59" i="1"/>
  <c r="G58" i="1"/>
  <c r="H57" i="1"/>
  <c r="G56" i="1"/>
  <c r="H55" i="1"/>
  <c r="G55" i="1"/>
  <c r="H54" i="1"/>
  <c r="G54" i="1"/>
  <c r="H53" i="1"/>
  <c r="G53" i="1"/>
  <c r="H52" i="1"/>
  <c r="G52" i="1"/>
  <c r="H33" i="1"/>
  <c r="F33" i="1"/>
  <c r="E33" i="1"/>
  <c r="D33" i="1"/>
  <c r="G32" i="1"/>
  <c r="G30" i="1"/>
  <c r="G29" i="1"/>
  <c r="G28" i="1"/>
  <c r="G27" i="1"/>
  <c r="G26" i="1"/>
  <c r="G25" i="1"/>
  <c r="G24" i="1"/>
  <c r="G23" i="1"/>
  <c r="G22" i="1"/>
  <c r="G21" i="1"/>
  <c r="C20" i="1"/>
  <c r="C33" i="1" s="1"/>
  <c r="S19" i="1"/>
  <c r="S138" i="1" l="1"/>
  <c r="H138" i="1"/>
  <c r="G57" i="1"/>
  <c r="G138" i="1" s="1"/>
  <c r="G20" i="1"/>
  <c r="G33" i="1" s="1"/>
</calcChain>
</file>

<file path=xl/sharedStrings.xml><?xml version="1.0" encoding="utf-8"?>
<sst xmlns="http://schemas.openxmlformats.org/spreadsheetml/2006/main" count="348" uniqueCount="159">
  <si>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</si>
  <si>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</si>
  <si>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</si>
  <si>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</si>
  <si>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</si>
  <si>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</si>
  <si>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</si>
  <si>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</si>
  <si>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</si>
  <si>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</si>
  <si>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</si>
  <si>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</si>
  <si>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</si>
  <si>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</si>
  <si>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</si>
  <si>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</si>
  <si>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</si>
  <si>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</si>
  <si>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</si>
  <si>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</si>
  <si>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</si>
  <si>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</si>
  <si>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</si>
  <si>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</si>
  <si>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</si>
  <si>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</si>
  <si>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</si>
  <si>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</si>
  <si>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</si>
  <si>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</si>
  <si>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</si>
  <si>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</si>
  <si>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</si>
  <si>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</si>
  <si>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</si>
  <si>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</si>
  <si>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</si>
  <si>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</si>
  <si>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</si>
  <si>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</si>
  <si>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</si>
  <si>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</si>
  <si>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</si>
  <si>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</si>
  <si>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</si>
  <si>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</si>
  <si>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</si>
  <si>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</si>
  <si>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</si>
  <si>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</si>
  <si>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</si>
  <si>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</si>
  <si>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</si>
  <si>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</si>
  <si>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</si>
  <si>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PRODUCTOS DE ARTES GRAFICAS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</si>
  <si>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</si>
  <si>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</si>
  <si>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</si>
  <si>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</si>
  <si>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</si>
  <si>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</si>
  <si>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</si>
  <si>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</si>
  <si>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</si>
  <si>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</si>
  <si>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</si>
  <si>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</si>
  <si>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</si>
  <si>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</si>
  <si>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</si>
  <si>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</si>
  <si>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</si>
  <si>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</si>
  <si>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</si>
  <si>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</si>
  <si>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</si>
  <si>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</si>
  <si>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>GERENTE ADMINISTRATIVO: HELEN YORYANA RAFAEL LAZARO</t>
  </si>
  <si>
    <t xml:space="preserve">Ley de Acceso a la Informacion Publica </t>
  </si>
  <si>
    <t>Capitulo segundo</t>
  </si>
  <si>
    <t>NUMERO 7</t>
  </si>
  <si>
    <t>ASOCIACION NACIONAL DE SURF DE GUATEMALA -ASOSURF-</t>
  </si>
  <si>
    <t>OTRAS MAQUINAS Y EQUIPOS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</si>
  <si>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</si>
  <si>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</si>
  <si>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</si>
  <si>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</si>
  <si>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</si>
  <si>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</si>
  <si>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</si>
  <si>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</si>
  <si>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</si>
  <si>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</si>
  <si>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</si>
  <si>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</si>
  <si>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</si>
  <si>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</si>
  <si>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</si>
  <si>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</si>
  <si>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</si>
  <si>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</si>
  <si>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</si>
  <si>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</si>
  <si>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</si>
  <si>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>UTILES DE CE COCINA Y COMEDOR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</si>
  <si>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</si>
  <si>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</si>
  <si>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</si>
  <si>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</si>
  <si>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</si>
  <si>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</si>
  <si>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</si>
  <si>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</si>
  <si>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</si>
  <si>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</si>
  <si>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</si>
  <si>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</si>
  <si>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</si>
  <si>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</si>
  <si>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</si>
  <si>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</si>
  <si>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</si>
  <si>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</si>
  <si>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</si>
  <si>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</si>
  <si>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</si>
  <si>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</si>
  <si>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</si>
  <si>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Impresión y Encuadernacion</t>
  </si>
  <si>
    <t>Apoyo  para juegos deportivos Nacionales</t>
  </si>
  <si>
    <t>Cuentas por pagar</t>
  </si>
  <si>
    <t xml:space="preserve"> LIBROS REVISTA Y PERIODICOS</t>
  </si>
  <si>
    <t>Complemento de Asignaciones de C.D.A.G. 2021</t>
  </si>
  <si>
    <t>Prestaciones Laborales</t>
  </si>
  <si>
    <t>OTROS PRODUCTOS DE MINERALES NO METALICOS</t>
  </si>
  <si>
    <t>UTILES, ACCESORIOS Y MATERIALES ELECTRICOS</t>
  </si>
  <si>
    <t xml:space="preserve">Bono 14 </t>
  </si>
  <si>
    <t>ajuste</t>
  </si>
  <si>
    <t>Ejecucion Presupuestaria de Ingresos</t>
  </si>
  <si>
    <t>Ayuda  PRT</t>
  </si>
  <si>
    <t>TOTAL DE PORCENTAJE EJECUTADO SEGÚN DISTRIBUCION</t>
  </si>
  <si>
    <t>FEBRERO</t>
  </si>
  <si>
    <t>MARZO</t>
  </si>
  <si>
    <t>ABRIL</t>
  </si>
  <si>
    <t>Ejecucion Presupuestaria de Ingresos 2022</t>
  </si>
  <si>
    <t>MAYO</t>
  </si>
  <si>
    <t>JUNIO</t>
  </si>
  <si>
    <t>JULIO</t>
  </si>
  <si>
    <t>AGOSTO</t>
  </si>
  <si>
    <t>SEPTIEMBRE</t>
  </si>
  <si>
    <t>Complemento de Asignaciones de C.D.A.G. 2022</t>
  </si>
  <si>
    <t>OCTUBRE</t>
  </si>
  <si>
    <t>RESPONSABLE DE PUBLICACION Y PAGINA WEB: MARIO RODOLFO CASTRO ESCOBAR</t>
  </si>
  <si>
    <t>RESPONSABLE DE PUBLICACION Y PAGINA WEB: MARIO RODOLFO CASTRO</t>
  </si>
  <si>
    <t>NOVIEMBRE</t>
  </si>
  <si>
    <t>FECHA DE ACTUALIZACIÓN:  NOVIEMBRE 2022</t>
  </si>
  <si>
    <t>ACUMULADO A NOVIEMBRE 2022</t>
  </si>
  <si>
    <t>FECHA DE ACTUALIZACIÓN: 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</si>
</sst>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2" xfId="0" applyNumberFormat="1" applyFont="1" applyFill="1" applyBorder="1"/>
    <xf numFmtId="0" fontId="6" fillId="2" borderId="4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9" fontId="9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4" fontId="5" fillId="2" borderId="18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5" fillId="2" borderId="20" xfId="0" applyNumberFormat="1" applyFont="1" applyFill="1" applyBorder="1"/>
    <xf numFmtId="4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2" xfId="0" applyNumberFormat="1" applyFont="1" applyFill="1" applyBorder="1" applyAlignment="1" applyProtection="1">
      <alignment horizontal="center" vertical="top" wrapText="1"/>
      <protection locked="0"/>
    </xf>
    <xf numFmtId="4" fontId="8" fillId="2" borderId="2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5" fillId="2" borderId="26" xfId="1" applyNumberFormat="1" applyFont="1" applyFill="1" applyBorder="1"/>
    <xf numFmtId="4" fontId="5" fillId="2" borderId="27" xfId="0" applyNumberFormat="1" applyFont="1" applyFill="1" applyBorder="1"/>
    <xf numFmtId="4" fontId="5" fillId="2" borderId="15" xfId="0" applyNumberFormat="1" applyFont="1" applyFill="1" applyBorder="1"/>
    <xf numFmtId="4" fontId="5" fillId="2" borderId="28" xfId="0" applyNumberFormat="1" applyFont="1" applyFill="1" applyBorder="1"/>
    <xf numFmtId="4" fontId="5" fillId="2" borderId="15" xfId="1" applyNumberFormat="1" applyFont="1" applyFill="1" applyBorder="1"/>
    <xf numFmtId="4" fontId="5" fillId="2" borderId="26" xfId="0" applyNumberFormat="1" applyFont="1" applyFill="1" applyBorder="1"/>
    <xf numFmtId="2" fontId="5" fillId="2" borderId="26" xfId="0" applyNumberFormat="1" applyFont="1" applyFill="1" applyBorder="1"/>
    <xf numFmtId="2" fontId="5" fillId="2" borderId="15" xfId="0" applyNumberFormat="1" applyFont="1" applyFill="1" applyBorder="1"/>
    <xf numFmtId="4" fontId="5" fillId="2" borderId="30" xfId="0" applyNumberFormat="1" applyFont="1" applyFill="1" applyBorder="1" applyAlignment="1">
      <alignment wrapText="1"/>
    </xf>
    <xf numFmtId="4" fontId="5" fillId="2" borderId="32" xfId="0" applyNumberFormat="1" applyFont="1" applyFill="1" applyBorder="1"/>
    <xf numFmtId="0" fontId="8" fillId="2" borderId="0" xfId="0" applyFont="1" applyFill="1" applyAlignment="1">
      <alignment vertical="center"/>
    </xf>
    <xf numFmtId="4" fontId="8" fillId="2" borderId="21" xfId="0" applyNumberFormat="1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center" vertical="center"/>
    </xf>
    <xf numFmtId="165" fontId="8" fillId="2" borderId="22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" fontId="6" fillId="2" borderId="35" xfId="0" applyNumberFormat="1" applyFont="1" applyFill="1" applyBorder="1"/>
    <xf numFmtId="0" fontId="6" fillId="2" borderId="3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34" xfId="0" applyFont="1" applyFill="1" applyBorder="1" applyAlignment="1">
      <alignment horizontal="left" wrapText="1"/>
    </xf>
    <xf numFmtId="0" fontId="6" fillId="2" borderId="37" xfId="0" applyFont="1" applyFill="1" applyBorder="1" applyAlignment="1">
      <alignment horizontal="left" wrapText="1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0" fontId="6" fillId="2" borderId="38" xfId="0" applyFont="1" applyFill="1" applyBorder="1" applyAlignment="1">
      <alignment horizontal="left" wrapText="1"/>
    </xf>
    <xf numFmtId="4" fontId="6" fillId="2" borderId="43" xfId="0" applyNumberFormat="1" applyFont="1" applyFill="1" applyBorder="1" applyAlignment="1"/>
    <xf numFmtId="165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0" fontId="6" fillId="0" borderId="2" xfId="0" applyNumberFormat="1" applyFont="1" applyFill="1" applyBorder="1"/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/>
    </xf>
    <xf numFmtId="4" fontId="8" fillId="0" borderId="22" xfId="0" applyNumberFormat="1" applyFont="1" applyFill="1" applyBorder="1" applyAlignment="1" applyProtection="1">
      <alignment horizontal="center" vertical="top" wrapText="1"/>
      <protection locked="0"/>
    </xf>
    <xf numFmtId="4" fontId="5" fillId="0" borderId="26" xfId="1" applyNumberFormat="1" applyFont="1" applyFill="1" applyBorder="1"/>
    <xf numFmtId="4" fontId="5" fillId="0" borderId="0" xfId="1" applyNumberFormat="1" applyFont="1" applyFill="1" applyBorder="1"/>
    <xf numFmtId="4" fontId="5" fillId="0" borderId="29" xfId="0" applyNumberFormat="1" applyFont="1" applyFill="1" applyBorder="1"/>
    <xf numFmtId="4" fontId="5" fillId="0" borderId="0" xfId="0" applyNumberFormat="1" applyFont="1" applyFill="1"/>
    <xf numFmtId="4" fontId="5" fillId="0" borderId="31" xfId="0" applyNumberFormat="1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top" wrapText="1"/>
    </xf>
    <xf numFmtId="4" fontId="6" fillId="0" borderId="19" xfId="1" applyNumberFormat="1" applyFont="1" applyFill="1" applyBorder="1"/>
    <xf numFmtId="4" fontId="3" fillId="0" borderId="2" xfId="2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/>
    <xf numFmtId="4" fontId="6" fillId="0" borderId="10" xfId="0" applyNumberFormat="1" applyFont="1" applyFill="1" applyBorder="1"/>
    <xf numFmtId="4" fontId="6" fillId="0" borderId="36" xfId="0" applyNumberFormat="1" applyFont="1" applyFill="1" applyBorder="1"/>
    <xf numFmtId="4" fontId="6" fillId="0" borderId="14" xfId="0" applyNumberFormat="1" applyFont="1" applyFill="1" applyBorder="1"/>
    <xf numFmtId="4" fontId="6" fillId="0" borderId="9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6" fillId="0" borderId="8" xfId="0" applyNumberFormat="1" applyFont="1" applyFill="1" applyBorder="1"/>
    <xf numFmtId="4" fontId="6" fillId="0" borderId="11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0" fontId="6" fillId="3" borderId="2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8" fillId="2" borderId="39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7" xfId="0" applyNumberFormat="1" applyFont="1" applyFill="1" applyBorder="1"/>
    <xf numFmtId="0" fontId="5" fillId="2" borderId="0" xfId="0" applyFont="1" applyFill="1" applyBorder="1"/>
    <xf numFmtId="165" fontId="8" fillId="2" borderId="45" xfId="0" applyNumberFormat="1" applyFont="1" applyFill="1" applyBorder="1" applyAlignment="1" applyProtection="1">
      <alignment horizontal="center" vertical="top" wrapText="1"/>
      <protection locked="0"/>
    </xf>
    <xf numFmtId="4" fontId="5" fillId="2" borderId="28" xfId="1" applyNumberFormat="1" applyFont="1" applyFill="1" applyBorder="1"/>
    <xf numFmtId="2" fontId="5" fillId="2" borderId="28" xfId="0" applyNumberFormat="1" applyFont="1" applyFill="1" applyBorder="1"/>
    <xf numFmtId="4" fontId="5" fillId="2" borderId="48" xfId="0" applyNumberFormat="1" applyFont="1" applyFill="1" applyBorder="1"/>
    <xf numFmtId="4" fontId="5" fillId="2" borderId="49" xfId="0" applyNumberFormat="1" applyFont="1" applyFill="1" applyBorder="1"/>
    <xf numFmtId="4" fontId="5" fillId="2" borderId="17" xfId="0" applyNumberFormat="1" applyFont="1" applyFill="1" applyBorder="1"/>
    <xf numFmtId="4" fontId="5" fillId="2" borderId="43" xfId="0" applyNumberFormat="1" applyFont="1" applyFill="1" applyBorder="1"/>
    <xf numFmtId="4" fontId="5" fillId="2" borderId="34" xfId="0" applyNumberFormat="1" applyFont="1" applyFill="1" applyBorder="1"/>
    <xf numFmtId="4" fontId="5" fillId="2" borderId="25" xfId="0" applyNumberFormat="1" applyFont="1" applyFill="1" applyBorder="1" applyAlignment="1">
      <alignment wrapText="1"/>
    </xf>
    <xf numFmtId="4" fontId="5" fillId="0" borderId="46" xfId="0" applyNumberFormat="1" applyFont="1" applyFill="1" applyBorder="1"/>
    <xf numFmtId="4" fontId="5" fillId="2" borderId="46" xfId="0" applyNumberFormat="1" applyFont="1" applyFill="1" applyBorder="1"/>
    <xf numFmtId="4" fontId="5" fillId="2" borderId="45" xfId="0" applyNumberFormat="1" applyFont="1" applyFill="1" applyBorder="1"/>
    <xf numFmtId="4" fontId="5" fillId="2" borderId="39" xfId="0" applyNumberFormat="1" applyFont="1" applyFill="1" applyBorder="1"/>
    <xf numFmtId="0" fontId="2" fillId="0" borderId="0" xfId="0" applyFont="1" applyBorder="1" applyAlignment="1">
      <alignment horizontal="center" vertical="center"/>
    </xf>
    <xf numFmtId="4" fontId="5" fillId="2" borderId="50" xfId="0" applyNumberFormat="1" applyFont="1" applyFill="1" applyBorder="1" applyAlignment="1">
      <alignment wrapText="1"/>
    </xf>
    <xf numFmtId="4" fontId="5" fillId="0" borderId="51" xfId="0" applyNumberFormat="1" applyFont="1" applyFill="1" applyBorder="1"/>
    <xf numFmtId="4" fontId="5" fillId="2" borderId="52" xfId="0" applyNumberFormat="1" applyFont="1" applyFill="1" applyBorder="1" applyAlignment="1">
      <alignment horizontal="center" wrapText="1"/>
    </xf>
    <xf numFmtId="4" fontId="5" fillId="2" borderId="53" xfId="0" applyNumberFormat="1" applyFont="1" applyFill="1" applyBorder="1" applyAlignment="1">
      <alignment wrapText="1"/>
    </xf>
    <xf numFmtId="4" fontId="5" fillId="2" borderId="54" xfId="0" applyNumberFormat="1" applyFont="1" applyFill="1" applyBorder="1" applyAlignment="1">
      <alignment wrapText="1"/>
    </xf>
    <xf numFmtId="4" fontId="5" fillId="2" borderId="19" xfId="0" applyNumberFormat="1" applyFont="1" applyFill="1" applyBorder="1" applyAlignment="1">
      <alignment wrapText="1"/>
    </xf>
    <xf numFmtId="4" fontId="5" fillId="0" borderId="47" xfId="1" applyNumberFormat="1" applyFont="1" applyFill="1" applyBorder="1"/>
    <xf numFmtId="4" fontId="5" fillId="0" borderId="15" xfId="1" applyNumberFormat="1" applyFont="1" applyFill="1" applyBorder="1"/>
    <xf numFmtId="4" fontId="5" fillId="0" borderId="34" xfId="1" applyNumberFormat="1" applyFont="1" applyFill="1" applyBorder="1"/>
    <xf numFmtId="4" fontId="5" fillId="0" borderId="55" xfId="0" applyNumberFormat="1" applyFont="1" applyFill="1" applyBorder="1"/>
    <xf numFmtId="4" fontId="5" fillId="0" borderId="34" xfId="0" applyNumberFormat="1" applyFont="1" applyFill="1" applyBorder="1"/>
    <xf numFmtId="4" fontId="5" fillId="0" borderId="56" xfId="0" applyNumberFormat="1" applyFont="1" applyFill="1" applyBorder="1"/>
    <xf numFmtId="4" fontId="5" fillId="0" borderId="57" xfId="0" applyNumberFormat="1" applyFont="1" applyFill="1" applyBorder="1"/>
    <xf numFmtId="4" fontId="5" fillId="2" borderId="57" xfId="0" applyNumberFormat="1" applyFont="1" applyFill="1" applyBorder="1"/>
    <xf numFmtId="4" fontId="5" fillId="2" borderId="5" xfId="0" applyNumberFormat="1" applyFont="1" applyFill="1" applyBorder="1"/>
    <xf numFmtId="0" fontId="5" fillId="2" borderId="17" xfId="0" applyFont="1" applyFill="1" applyBorder="1"/>
    <xf numFmtId="4" fontId="5" fillId="0" borderId="15" xfId="0" applyNumberFormat="1" applyFont="1" applyFill="1" applyBorder="1"/>
    <xf numFmtId="4" fontId="4" fillId="0" borderId="0" xfId="0" applyNumberFormat="1" applyFont="1"/>
    <xf numFmtId="4" fontId="5" fillId="2" borderId="2" xfId="0" applyNumberFormat="1" applyFont="1" applyFill="1" applyBorder="1"/>
    <xf numFmtId="4" fontId="11" fillId="2" borderId="46" xfId="0" applyNumberFormat="1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9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2" xfId="0" applyNumberFormat="1" applyFont="1" applyFill="1" applyBorder="1" applyAlignment="1" applyProtection="1">
      <alignment horizontal="center" vertical="top" wrapText="1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44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5" fillId="2" borderId="10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6" fillId="2" borderId="40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4" fontId="6" fillId="2" borderId="0" xfId="0" applyNumberFormat="1" applyFont="1" applyFill="1" applyBorder="1" applyAlignment="1"/>
    <xf numFmtId="4" fontId="8" fillId="2" borderId="59" xfId="0" applyNumberFormat="1" applyFont="1" applyFill="1" applyBorder="1" applyAlignment="1">
      <alignment horizontal="center" vertical="center" wrapText="1"/>
    </xf>
    <xf numFmtId="4" fontId="8" fillId="0" borderId="60" xfId="0" applyNumberFormat="1" applyFont="1" applyFill="1" applyBorder="1" applyAlignment="1">
      <alignment horizontal="center" vertical="top" wrapText="1"/>
    </xf>
    <xf numFmtId="4" fontId="8" fillId="2" borderId="60" xfId="0" applyNumberFormat="1" applyFont="1" applyFill="1" applyBorder="1" applyAlignment="1">
      <alignment horizontal="center" vertical="center"/>
    </xf>
    <xf numFmtId="165" fontId="8" fillId="2" borderId="60" xfId="0" applyNumberFormat="1" applyFont="1" applyFill="1" applyBorder="1" applyAlignment="1">
      <alignment horizontal="center" vertical="top" wrapText="1"/>
    </xf>
    <xf numFmtId="4" fontId="11" fillId="2" borderId="60" xfId="0" applyNumberFormat="1" applyFont="1" applyFill="1" applyBorder="1" applyAlignment="1">
      <alignment horizontal="center" vertical="center"/>
    </xf>
    <xf numFmtId="4" fontId="11" fillId="2" borderId="61" xfId="0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/>
    <xf numFmtId="4" fontId="6" fillId="2" borderId="62" xfId="0" applyNumberFormat="1" applyFont="1" applyFill="1" applyBorder="1"/>
    <xf numFmtId="0" fontId="4" fillId="0" borderId="2" xfId="0" applyFont="1" applyBorder="1"/>
    <xf numFmtId="0" fontId="6" fillId="2" borderId="63" xfId="0" applyFont="1" applyFill="1" applyBorder="1" applyAlignment="1">
      <alignment horizontal="left" wrapText="1"/>
    </xf>
    <xf numFmtId="4" fontId="6" fillId="0" borderId="64" xfId="0" applyNumberFormat="1" applyFont="1" applyFill="1" applyBorder="1"/>
    <xf numFmtId="4" fontId="6" fillId="2" borderId="64" xfId="0" applyNumberFormat="1" applyFont="1" applyFill="1" applyBorder="1"/>
    <xf numFmtId="4" fontId="6" fillId="2" borderId="65" xfId="0" applyNumberFormat="1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octubre/caja%20fiscal%20y%20estados%20financieros%20septiembre%202022%20WEN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 200-A-3 Ingresos (3)"/>
      <sheetName val="Egr.01"/>
      <sheetName val="Egr.02"/>
      <sheetName val="Egr.03"/>
      <sheetName val="Egr.4"/>
      <sheetName val="Egr.05"/>
      <sheetName val="Egr.06"/>
      <sheetName val="Forma 200-A-3 INFO. ADICION (2)"/>
      <sheetName val="EJECUCION PRESUPUESTARIA (2)"/>
      <sheetName val="TRASLADOS (2)"/>
      <sheetName val="Estado de Resultados (2)"/>
      <sheetName val="Balance (2)"/>
      <sheetName val="Hoja Trab. Final (2)"/>
      <sheetName val="Flujo Final (2)"/>
      <sheetName val="Notas (2)"/>
      <sheetName val="INTE. CAJ FIS. (2)"/>
      <sheetName val="DIARIO (2)"/>
      <sheetName val="Egr.9"/>
      <sheetName val="Egr.10"/>
      <sheetName val="Sheet1"/>
      <sheetName val="PRES5"/>
      <sheetName val="PRES4"/>
      <sheetName val="Ejecucion Presup 08 COMPARATIVA"/>
      <sheetName val="RESULTADOS ACUMULADO 2008"/>
    </sheetNames>
    <sheetDataSet>
      <sheetData sheetId="0">
        <row r="24">
          <cell r="G24">
            <v>289449.90000000002</v>
          </cell>
        </row>
        <row r="25">
          <cell r="G25">
            <v>6257.37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2"/>
  <sheetViews>
    <sheetView topLeftCell="A26" workbookViewId="0">
      <selection activeCell="B36" sqref="B36:S139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3" hidden="1" customWidth="1"/>
    <col min="4" max="4" width="8.7109375" style="2" hidden="1" customWidth="1"/>
    <col min="5" max="5" width="12.7109375" style="2" hidden="1" customWidth="1"/>
    <col min="6" max="6" width="12.140625" style="2" hidden="1" customWidth="1"/>
    <col min="7" max="7" width="11.7109375" style="2" hidden="1" customWidth="1"/>
    <col min="8" max="15" width="11.28515625" style="2" customWidth="1"/>
    <col min="16" max="18" width="13.7109375" style="2" customWidth="1"/>
    <col min="19" max="19" width="12.42578125" style="2" customWidth="1"/>
    <col min="20" max="20" width="11.28515625" style="2" bestFit="1" customWidth="1"/>
    <col min="21" max="16384" width="11" style="2"/>
  </cols>
  <sheetData>
    <row r="1" spans="2:19" x14ac:dyDescent="0.2">
      <c r="B1" s="155" t="s">
        <v>82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2:19" x14ac:dyDescent="0.2">
      <c r="B2" s="155" t="s">
        <v>75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2:19" x14ac:dyDescent="0.2">
      <c r="B3" s="155" t="s">
        <v>76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2:19" x14ac:dyDescent="0.2">
      <c r="B4" s="155" t="s">
        <v>77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2:19" x14ac:dyDescent="0.2">
      <c r="B5" s="155" t="s">
        <v>78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</row>
    <row r="6" spans="2:19" x14ac:dyDescent="0.2">
      <c r="B6" s="155" t="s">
        <v>112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</row>
    <row r="7" spans="2:19" x14ac:dyDescent="0.2">
      <c r="B7" s="155" t="s">
        <v>153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2:19" x14ac:dyDescent="0.2">
      <c r="B8" s="155" t="s">
        <v>156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</row>
    <row r="9" spans="2:19" x14ac:dyDescent="0.2">
      <c r="B9" s="4"/>
      <c r="C9" s="7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9" x14ac:dyDescent="0.2">
      <c r="B10" s="155" t="s">
        <v>79</v>
      </c>
      <c r="C10" s="155"/>
      <c r="D10" s="155"/>
      <c r="E10" s="155"/>
      <c r="F10" s="155"/>
      <c r="G10" s="155"/>
      <c r="H10" s="155"/>
      <c r="I10" s="73"/>
      <c r="J10" s="95"/>
      <c r="K10" s="95"/>
      <c r="L10" s="96"/>
      <c r="M10" s="99"/>
      <c r="N10" s="100"/>
      <c r="O10" s="102"/>
      <c r="P10" s="103"/>
      <c r="Q10" s="120"/>
      <c r="R10" s="148"/>
    </row>
    <row r="11" spans="2:19" x14ac:dyDescent="0.2">
      <c r="B11" s="155" t="s">
        <v>80</v>
      </c>
      <c r="C11" s="155"/>
      <c r="D11" s="155"/>
      <c r="E11" s="155"/>
      <c r="F11" s="155"/>
      <c r="G11" s="155"/>
      <c r="H11" s="155"/>
      <c r="I11" s="73"/>
      <c r="J11" s="95"/>
      <c r="K11" s="95"/>
      <c r="L11" s="96"/>
      <c r="M11" s="99"/>
      <c r="N11" s="100"/>
      <c r="O11" s="102"/>
      <c r="P11" s="103"/>
      <c r="Q11" s="120"/>
      <c r="R11" s="148"/>
    </row>
    <row r="12" spans="2:19" x14ac:dyDescent="0.2">
      <c r="B12" s="155" t="s">
        <v>81</v>
      </c>
      <c r="C12" s="155"/>
      <c r="D12" s="155"/>
      <c r="E12" s="155"/>
      <c r="F12" s="155"/>
      <c r="G12" s="155"/>
      <c r="H12" s="155"/>
      <c r="I12" s="73"/>
      <c r="J12" s="95"/>
      <c r="K12" s="95"/>
      <c r="L12" s="96"/>
      <c r="M12" s="99"/>
      <c r="N12" s="100"/>
      <c r="O12" s="102"/>
      <c r="P12" s="103"/>
      <c r="Q12" s="120"/>
      <c r="R12" s="148"/>
    </row>
    <row r="13" spans="2:19" ht="20.25" customHeight="1" x14ac:dyDescent="0.2">
      <c r="B13" s="155"/>
      <c r="C13" s="155"/>
      <c r="D13" s="155"/>
      <c r="E13" s="155"/>
      <c r="F13" s="155"/>
      <c r="G13" s="155"/>
      <c r="H13" s="155"/>
      <c r="I13" s="73"/>
      <c r="J13" s="95"/>
      <c r="K13" s="95"/>
      <c r="L13" s="96"/>
      <c r="M13" s="99"/>
      <c r="N13" s="100"/>
      <c r="O13" s="102"/>
      <c r="P13" s="103"/>
      <c r="Q13" s="120"/>
      <c r="R13" s="148"/>
    </row>
    <row r="14" spans="2:19" x14ac:dyDescent="0.2">
      <c r="B14" s="155" t="s">
        <v>145</v>
      </c>
      <c r="C14" s="155"/>
      <c r="D14" s="155"/>
      <c r="E14" s="155"/>
      <c r="F14" s="155"/>
      <c r="G14" s="155"/>
      <c r="H14" s="155"/>
      <c r="I14" s="73"/>
      <c r="J14" s="95"/>
      <c r="K14" s="95"/>
      <c r="L14" s="96"/>
      <c r="M14" s="99"/>
      <c r="N14" s="100"/>
      <c r="O14" s="102"/>
      <c r="P14" s="103"/>
      <c r="Q14" s="120"/>
      <c r="R14" s="148"/>
    </row>
    <row r="15" spans="2:19" ht="19.5" customHeight="1" thickBot="1" x14ac:dyDescent="0.25">
      <c r="B15" s="156" t="s">
        <v>0</v>
      </c>
      <c r="C15" s="156"/>
      <c r="D15" s="156"/>
      <c r="E15" s="156"/>
      <c r="F15" s="156"/>
      <c r="G15" s="156"/>
      <c r="H15" s="156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2:19" ht="14.25" customHeight="1" thickBot="1" x14ac:dyDescent="0.35">
      <c r="B16" s="165" t="s">
        <v>139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63"/>
      <c r="N16" s="63"/>
      <c r="O16" s="63"/>
      <c r="P16" s="63"/>
      <c r="Q16" s="63"/>
      <c r="R16" s="63"/>
    </row>
    <row r="17" spans="2:20" ht="27" customHeight="1" thickBot="1" x14ac:dyDescent="0.25">
      <c r="B17" s="64" t="s">
        <v>0</v>
      </c>
      <c r="C17" s="76"/>
      <c r="D17" s="152" t="s">
        <v>1</v>
      </c>
      <c r="E17" s="153"/>
      <c r="F17" s="154"/>
      <c r="G17" s="65"/>
      <c r="H17" s="66">
        <v>2022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2:20" ht="27.75" thickBot="1" x14ac:dyDescent="0.25">
      <c r="B18" s="29" t="s">
        <v>2</v>
      </c>
      <c r="C18" s="77" t="s">
        <v>113</v>
      </c>
      <c r="D18" s="141" t="s">
        <v>3</v>
      </c>
      <c r="E18" s="142" t="s">
        <v>4</v>
      </c>
      <c r="F18" s="143" t="s">
        <v>114</v>
      </c>
      <c r="G18" s="144" t="s">
        <v>5</v>
      </c>
      <c r="H18" s="145" t="s">
        <v>6</v>
      </c>
      <c r="I18" s="146" t="s">
        <v>142</v>
      </c>
      <c r="J18" s="146" t="s">
        <v>143</v>
      </c>
      <c r="K18" s="146" t="s">
        <v>144</v>
      </c>
      <c r="L18" s="146" t="s">
        <v>146</v>
      </c>
      <c r="M18" s="146" t="s">
        <v>147</v>
      </c>
      <c r="N18" s="146" t="s">
        <v>148</v>
      </c>
      <c r="O18" s="146" t="s">
        <v>149</v>
      </c>
      <c r="P18" s="146" t="s">
        <v>150</v>
      </c>
      <c r="Q18" s="147" t="s">
        <v>152</v>
      </c>
      <c r="R18" s="147" t="s">
        <v>155</v>
      </c>
      <c r="S18" s="140" t="s">
        <v>157</v>
      </c>
    </row>
    <row r="19" spans="2:20" ht="12.75" x14ac:dyDescent="0.2">
      <c r="B19" s="123" t="s">
        <v>7</v>
      </c>
      <c r="C19" s="127">
        <v>29938.7</v>
      </c>
      <c r="D19" s="105"/>
      <c r="E19" s="105"/>
      <c r="F19" s="105">
        <f>+C19</f>
        <v>29938.7</v>
      </c>
      <c r="G19" s="40"/>
      <c r="H19" s="105"/>
      <c r="I19" s="40"/>
      <c r="J19" s="105"/>
      <c r="K19" s="40"/>
      <c r="L19" s="105"/>
      <c r="M19" s="40"/>
      <c r="N19" s="105"/>
      <c r="O19" s="40"/>
      <c r="P19" s="105"/>
      <c r="Q19" s="40"/>
      <c r="R19" s="40"/>
      <c r="S19" s="105">
        <f>+G19+H19+I19</f>
        <v>0</v>
      </c>
    </row>
    <row r="20" spans="2:20" ht="12.75" x14ac:dyDescent="0.2">
      <c r="B20" s="124" t="s">
        <v>8</v>
      </c>
      <c r="C20" s="128">
        <f>234965.58*12</f>
        <v>2819586.96</v>
      </c>
      <c r="D20" s="35"/>
      <c r="E20" s="35"/>
      <c r="F20" s="35">
        <v>653811.94999999995</v>
      </c>
      <c r="G20" s="24">
        <f t="shared" ref="G20:G30" si="0">+C20+D20-E20+F20</f>
        <v>3473398.91</v>
      </c>
      <c r="H20" s="33">
        <v>234965.58</v>
      </c>
      <c r="I20" s="34">
        <v>234965.58</v>
      </c>
      <c r="J20" s="33">
        <f>25159.31+230171.81</f>
        <v>255331.12</v>
      </c>
      <c r="K20" s="24">
        <v>241754.09</v>
      </c>
      <c r="L20" s="33">
        <v>241754.09</v>
      </c>
      <c r="M20" s="34">
        <v>241754.09</v>
      </c>
      <c r="N20" s="33">
        <f>289449.9+6257.37</f>
        <v>295707.27</v>
      </c>
      <c r="O20" s="34">
        <v>241754.09</v>
      </c>
      <c r="P20" s="33">
        <f>+'[1]Forma 200-A-3 Ingresos (3)'!$G$24</f>
        <v>289449.90000000002</v>
      </c>
      <c r="Q20" s="139">
        <f>259738.49+44960</f>
        <v>304698.49</v>
      </c>
      <c r="R20" s="24"/>
      <c r="S20" s="110">
        <f>+H20+I20+J20+K20+L20+M20+N20+O20+P20+Q20+R20</f>
        <v>2582134.2999999998</v>
      </c>
      <c r="T20" s="138"/>
    </row>
    <row r="21" spans="2:20" ht="38.25" x14ac:dyDescent="0.2">
      <c r="B21" s="124" t="s">
        <v>151</v>
      </c>
      <c r="C21" s="129"/>
      <c r="D21" s="35"/>
      <c r="E21" s="35"/>
      <c r="F21" s="35">
        <v>8500</v>
      </c>
      <c r="G21" s="24">
        <f t="shared" si="0"/>
        <v>8500</v>
      </c>
      <c r="H21" s="33"/>
      <c r="I21" s="34"/>
      <c r="J21" s="33"/>
      <c r="K21" s="24"/>
      <c r="L21" s="33"/>
      <c r="M21" s="34"/>
      <c r="N21" s="33"/>
      <c r="O21" s="34"/>
      <c r="P21" s="137">
        <f>+'[1]Forma 200-A-3 Ingresos (3)'!$G$25</f>
        <v>6257.37</v>
      </c>
      <c r="Q21" s="139"/>
      <c r="R21" s="24"/>
      <c r="S21" s="110">
        <f t="shared" ref="S21:S32" si="1">+H21+I21+J21+K21+L21+M21+N21+O21+P21+Q21+R21</f>
        <v>6257.37</v>
      </c>
    </row>
    <row r="22" spans="2:20" ht="25.5" x14ac:dyDescent="0.2">
      <c r="B22" s="124" t="s">
        <v>130</v>
      </c>
      <c r="C22" s="129">
        <v>41640.29</v>
      </c>
      <c r="D22" s="35"/>
      <c r="E22" s="35"/>
      <c r="F22" s="35">
        <v>51547.71</v>
      </c>
      <c r="G22" s="24">
        <f t="shared" si="0"/>
        <v>93188</v>
      </c>
      <c r="H22" s="33"/>
      <c r="I22" s="34"/>
      <c r="J22" s="33"/>
      <c r="K22" s="24"/>
      <c r="L22" s="33"/>
      <c r="M22" s="34"/>
      <c r="N22" s="33"/>
      <c r="O22" s="34"/>
      <c r="P22" s="33"/>
      <c r="Q22" s="139"/>
      <c r="R22" s="24"/>
      <c r="S22" s="110">
        <f t="shared" si="1"/>
        <v>0</v>
      </c>
    </row>
    <row r="23" spans="2:20" ht="25.5" x14ac:dyDescent="0.2">
      <c r="B23" s="124" t="s">
        <v>9</v>
      </c>
      <c r="C23" s="130"/>
      <c r="D23" s="33"/>
      <c r="E23" s="33"/>
      <c r="F23" s="33"/>
      <c r="G23" s="24">
        <f t="shared" si="0"/>
        <v>0</v>
      </c>
      <c r="H23" s="33"/>
      <c r="I23" s="34"/>
      <c r="J23" s="33"/>
      <c r="K23" s="24"/>
      <c r="L23" s="33">
        <v>88409.88</v>
      </c>
      <c r="M23" s="34"/>
      <c r="N23" s="33"/>
      <c r="O23" s="34"/>
      <c r="P23" s="33"/>
      <c r="Q23" s="139"/>
      <c r="R23" s="24"/>
      <c r="S23" s="110">
        <f t="shared" si="1"/>
        <v>88409.88</v>
      </c>
    </row>
    <row r="24" spans="2:20" ht="12.75" x14ac:dyDescent="0.2">
      <c r="B24" s="124" t="s">
        <v>140</v>
      </c>
      <c r="C24" s="130">
        <v>28811.35</v>
      </c>
      <c r="D24" s="33"/>
      <c r="E24" s="33"/>
      <c r="F24" s="33"/>
      <c r="G24" s="24">
        <f t="shared" si="0"/>
        <v>28811.35</v>
      </c>
      <c r="H24" s="33"/>
      <c r="I24" s="34"/>
      <c r="J24" s="33"/>
      <c r="K24" s="24"/>
      <c r="L24" s="33">
        <f>28739.88</f>
        <v>28739.88</v>
      </c>
      <c r="M24" s="34"/>
      <c r="N24" s="33"/>
      <c r="O24" s="34"/>
      <c r="P24" s="33"/>
      <c r="Q24" s="139">
        <v>9240</v>
      </c>
      <c r="R24" s="24"/>
      <c r="S24" s="110">
        <f t="shared" si="1"/>
        <v>37979.880000000005</v>
      </c>
    </row>
    <row r="25" spans="2:20" ht="12.75" x14ac:dyDescent="0.2">
      <c r="B25" s="124" t="s">
        <v>10</v>
      </c>
      <c r="C25" s="130">
        <v>621900.97</v>
      </c>
      <c r="D25" s="33"/>
      <c r="E25" s="33"/>
      <c r="F25" s="33"/>
      <c r="G25" s="24">
        <f t="shared" si="0"/>
        <v>621900.97</v>
      </c>
      <c r="H25" s="33"/>
      <c r="I25" s="106"/>
      <c r="J25" s="33">
        <v>70496</v>
      </c>
      <c r="K25" s="24"/>
      <c r="L25" s="33">
        <f>8454.21+138793.12+75332.5</f>
        <v>222579.83</v>
      </c>
      <c r="M25" s="34"/>
      <c r="N25" s="33">
        <v>132191.18</v>
      </c>
      <c r="O25" s="34"/>
      <c r="P25" s="33"/>
      <c r="Q25" s="139">
        <v>46865</v>
      </c>
      <c r="R25" s="139">
        <v>26520</v>
      </c>
      <c r="S25" s="110">
        <f t="shared" si="1"/>
        <v>498652.00999999995</v>
      </c>
    </row>
    <row r="26" spans="2:20" ht="12.75" x14ac:dyDescent="0.2">
      <c r="B26" s="124" t="s">
        <v>134</v>
      </c>
      <c r="C26" s="131"/>
      <c r="D26" s="33"/>
      <c r="E26" s="33"/>
      <c r="F26" s="33"/>
      <c r="G26" s="24">
        <f t="shared" si="0"/>
        <v>0</v>
      </c>
      <c r="H26" s="33"/>
      <c r="I26" s="34"/>
      <c r="J26" s="33"/>
      <c r="K26" s="24"/>
      <c r="L26" s="33"/>
      <c r="M26" s="34"/>
      <c r="N26" s="33"/>
      <c r="O26" s="34"/>
      <c r="P26" s="33"/>
      <c r="Q26" s="139"/>
      <c r="R26" s="139">
        <v>75000</v>
      </c>
      <c r="S26" s="110">
        <f t="shared" si="1"/>
        <v>75000</v>
      </c>
    </row>
    <row r="27" spans="2:20" ht="25.5" x14ac:dyDescent="0.2">
      <c r="B27" s="124" t="s">
        <v>11</v>
      </c>
      <c r="C27" s="128">
        <v>15500</v>
      </c>
      <c r="D27" s="35"/>
      <c r="E27" s="35"/>
      <c r="F27" s="35"/>
      <c r="G27" s="24">
        <f t="shared" si="0"/>
        <v>15500</v>
      </c>
      <c r="H27" s="33"/>
      <c r="I27" s="34">
        <v>400</v>
      </c>
      <c r="J27" s="33">
        <f>200+200+100+900</f>
        <v>1400</v>
      </c>
      <c r="K27" s="24">
        <v>200</v>
      </c>
      <c r="L27" s="33"/>
      <c r="M27" s="34">
        <v>500</v>
      </c>
      <c r="N27" s="33">
        <v>400</v>
      </c>
      <c r="O27" s="34"/>
      <c r="P27" s="33"/>
      <c r="Q27" s="139">
        <v>9260</v>
      </c>
      <c r="R27" s="139">
        <v>1768.8</v>
      </c>
      <c r="S27" s="110">
        <f t="shared" si="1"/>
        <v>13928.8</v>
      </c>
      <c r="T27" s="138"/>
    </row>
    <row r="28" spans="2:20" ht="12.75" x14ac:dyDescent="0.2">
      <c r="B28" s="124" t="s">
        <v>12</v>
      </c>
      <c r="C28" s="128"/>
      <c r="D28" s="35"/>
      <c r="E28" s="35"/>
      <c r="F28" s="35"/>
      <c r="G28" s="24">
        <f t="shared" si="0"/>
        <v>0</v>
      </c>
      <c r="H28" s="33">
        <v>272.62</v>
      </c>
      <c r="I28" s="34">
        <v>238.53</v>
      </c>
      <c r="J28" s="33">
        <v>310.16000000000003</v>
      </c>
      <c r="K28" s="24">
        <v>251.2</v>
      </c>
      <c r="L28" s="33">
        <v>454.46</v>
      </c>
      <c r="M28" s="34">
        <v>353.04</v>
      </c>
      <c r="N28" s="33">
        <v>814.43</v>
      </c>
      <c r="O28" s="34">
        <v>687.2</v>
      </c>
      <c r="P28" s="33">
        <v>431.15</v>
      </c>
      <c r="Q28" s="139">
        <v>705.03</v>
      </c>
      <c r="R28" s="139">
        <v>164.92</v>
      </c>
      <c r="S28" s="110">
        <f t="shared" si="1"/>
        <v>4682.7400000000007</v>
      </c>
    </row>
    <row r="29" spans="2:20" ht="25.5" x14ac:dyDescent="0.2">
      <c r="B29" s="124" t="s">
        <v>115</v>
      </c>
      <c r="C29" s="130"/>
      <c r="D29" s="38"/>
      <c r="E29" s="38"/>
      <c r="F29" s="38"/>
      <c r="G29" s="24">
        <f t="shared" si="0"/>
        <v>0</v>
      </c>
      <c r="H29" s="33">
        <v>975.65000000000009</v>
      </c>
      <c r="I29" s="34">
        <v>1218.5899999999999</v>
      </c>
      <c r="J29" s="33">
        <v>1218.5899999999999</v>
      </c>
      <c r="K29" s="34">
        <v>1218.5899999999999</v>
      </c>
      <c r="L29" s="33">
        <v>1218.5899999999999</v>
      </c>
      <c r="M29" s="34">
        <v>1218.5899999999999</v>
      </c>
      <c r="N29" s="33">
        <v>1218.5899999999999</v>
      </c>
      <c r="O29" s="34">
        <v>1218.5899999999999</v>
      </c>
      <c r="P29" s="33">
        <v>1218.5899999999999</v>
      </c>
      <c r="Q29" s="139">
        <v>1218.5899999999999</v>
      </c>
      <c r="R29" s="139">
        <v>609.29999999999995</v>
      </c>
      <c r="S29" s="110">
        <f t="shared" si="1"/>
        <v>12552.26</v>
      </c>
    </row>
    <row r="30" spans="2:20" ht="25.5" x14ac:dyDescent="0.2">
      <c r="B30" s="124" t="s">
        <v>13</v>
      </c>
      <c r="C30" s="130"/>
      <c r="D30" s="33"/>
      <c r="E30" s="33"/>
      <c r="F30" s="33"/>
      <c r="G30" s="24">
        <f t="shared" si="0"/>
        <v>0</v>
      </c>
      <c r="H30" s="33"/>
      <c r="I30" s="34"/>
      <c r="J30" s="33"/>
      <c r="K30" s="34"/>
      <c r="L30" s="33"/>
      <c r="M30" s="34"/>
      <c r="N30" s="33"/>
      <c r="O30" s="34"/>
      <c r="P30" s="33">
        <v>1300</v>
      </c>
      <c r="Q30" s="139">
        <v>998.7</v>
      </c>
      <c r="R30" s="139"/>
      <c r="S30" s="110">
        <f t="shared" si="1"/>
        <v>2298.6999999999998</v>
      </c>
    </row>
    <row r="31" spans="2:20" ht="12.75" x14ac:dyDescent="0.2">
      <c r="B31" s="125" t="s">
        <v>131</v>
      </c>
      <c r="C31" s="132"/>
      <c r="D31" s="112"/>
      <c r="E31" s="112"/>
      <c r="F31" s="112"/>
      <c r="G31" s="62"/>
      <c r="H31" s="112"/>
      <c r="I31" s="113"/>
      <c r="J31" s="112"/>
      <c r="K31" s="113"/>
      <c r="L31" s="112"/>
      <c r="M31" s="113"/>
      <c r="N31" s="112"/>
      <c r="O31" s="113"/>
      <c r="P31" s="112"/>
      <c r="Q31" s="139"/>
      <c r="R31" s="164"/>
      <c r="S31" s="110">
        <f t="shared" si="1"/>
        <v>0</v>
      </c>
    </row>
    <row r="32" spans="2:20" ht="13.5" thickBot="1" x14ac:dyDescent="0.25">
      <c r="B32" s="126" t="s">
        <v>116</v>
      </c>
      <c r="C32" s="133"/>
      <c r="D32" s="134"/>
      <c r="E32" s="134"/>
      <c r="F32" s="112"/>
      <c r="G32" s="113">
        <f>C32+D32+E32-+F32</f>
        <v>0</v>
      </c>
      <c r="H32" s="112">
        <v>3114.3</v>
      </c>
      <c r="I32" s="113">
        <v>3259.18</v>
      </c>
      <c r="J32" s="112">
        <v>5207.7</v>
      </c>
      <c r="K32" s="113">
        <f>214.3+3036.94</f>
        <v>3251.2400000000002</v>
      </c>
      <c r="L32" s="112">
        <v>3036.94</v>
      </c>
      <c r="M32" s="113">
        <v>3426.94</v>
      </c>
      <c r="N32" s="136">
        <f>207.66+485.74+1848.68+740.4</f>
        <v>3282.48</v>
      </c>
      <c r="O32" s="113">
        <v>3036.94</v>
      </c>
      <c r="P32" s="112">
        <v>9265.24</v>
      </c>
      <c r="Q32" s="139">
        <v>3555.06</v>
      </c>
      <c r="R32" s="164">
        <v>1028.3399999999999</v>
      </c>
      <c r="S32" s="110">
        <f t="shared" si="1"/>
        <v>41464.359999999993</v>
      </c>
    </row>
    <row r="33" spans="2:19" ht="13.5" thickBot="1" x14ac:dyDescent="0.25">
      <c r="B33" s="121" t="s">
        <v>14</v>
      </c>
      <c r="C33" s="122">
        <f t="shared" ref="C33:N33" si="2">SUM(C19:C32)</f>
        <v>3557378.2700000005</v>
      </c>
      <c r="D33" s="119">
        <f t="shared" si="2"/>
        <v>0</v>
      </c>
      <c r="E33" s="119">
        <f t="shared" si="2"/>
        <v>0</v>
      </c>
      <c r="F33" s="119">
        <f t="shared" si="2"/>
        <v>743798.35999999987</v>
      </c>
      <c r="G33" s="135">
        <f>SUM(G19:G32)</f>
        <v>4241299.2300000004</v>
      </c>
      <c r="H33" s="119">
        <f t="shared" si="2"/>
        <v>239328.14999999997</v>
      </c>
      <c r="I33" s="135">
        <f t="shared" si="2"/>
        <v>240081.87999999998</v>
      </c>
      <c r="J33" s="119">
        <f t="shared" si="2"/>
        <v>333963.57</v>
      </c>
      <c r="K33" s="135">
        <f t="shared" si="2"/>
        <v>246675.12</v>
      </c>
      <c r="L33" s="119">
        <f t="shared" si="2"/>
        <v>586193.66999999981</v>
      </c>
      <c r="M33" s="135">
        <f t="shared" si="2"/>
        <v>247252.66</v>
      </c>
      <c r="N33" s="119">
        <f t="shared" si="2"/>
        <v>433613.95</v>
      </c>
      <c r="O33" s="135">
        <f>SUM(O19:O32)</f>
        <v>246696.82</v>
      </c>
      <c r="P33" s="119">
        <f>SUM(P20:P32)</f>
        <v>307922.25000000006</v>
      </c>
      <c r="Q33" s="135">
        <f>SUM(Q20:Q32)</f>
        <v>376540.87000000005</v>
      </c>
      <c r="R33" s="135">
        <f>SUM(R20:R32)</f>
        <v>105091.36</v>
      </c>
      <c r="S33" s="119">
        <f>SUM(S20:S32)</f>
        <v>3363360.2999999993</v>
      </c>
    </row>
    <row r="34" spans="2:19" ht="12.75" x14ac:dyDescent="0.2">
      <c r="B34" s="23"/>
      <c r="C34" s="83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9" ht="12.75" x14ac:dyDescent="0.2">
      <c r="B35" s="23"/>
      <c r="C35" s="83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2:19" x14ac:dyDescent="0.2">
      <c r="B36" s="155" t="s">
        <v>82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2:19" x14ac:dyDescent="0.2">
      <c r="B37" s="155" t="s">
        <v>75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</row>
    <row r="38" spans="2:19" x14ac:dyDescent="0.2">
      <c r="B38" s="155" t="s">
        <v>76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</row>
    <row r="39" spans="2:19" x14ac:dyDescent="0.2">
      <c r="B39" s="155" t="s">
        <v>77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</row>
    <row r="40" spans="2:19" x14ac:dyDescent="0.2">
      <c r="B40" s="155" t="s">
        <v>78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</row>
    <row r="41" spans="2:19" x14ac:dyDescent="0.2">
      <c r="B41" s="155" t="s">
        <v>112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</row>
    <row r="42" spans="2:19" x14ac:dyDescent="0.2">
      <c r="B42" s="155" t="s">
        <v>154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2:19" x14ac:dyDescent="0.2">
      <c r="B43" s="155" t="s">
        <v>156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</row>
    <row r="44" spans="2:19" x14ac:dyDescent="0.2">
      <c r="B44" s="4"/>
      <c r="C44" s="7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9" x14ac:dyDescent="0.2">
      <c r="B45" s="155" t="s">
        <v>79</v>
      </c>
      <c r="C45" s="155"/>
      <c r="D45" s="155"/>
      <c r="E45" s="155"/>
      <c r="F45" s="155"/>
      <c r="G45" s="155"/>
      <c r="H45" s="155"/>
      <c r="I45" s="73"/>
      <c r="J45" s="95"/>
      <c r="K45" s="95"/>
      <c r="L45" s="96"/>
      <c r="M45" s="99"/>
      <c r="N45" s="100"/>
      <c r="O45" s="102"/>
      <c r="P45" s="103"/>
      <c r="Q45" s="120"/>
      <c r="R45" s="148"/>
    </row>
    <row r="46" spans="2:19" x14ac:dyDescent="0.2">
      <c r="B46" s="155" t="s">
        <v>80</v>
      </c>
      <c r="C46" s="155"/>
      <c r="D46" s="155"/>
      <c r="E46" s="155"/>
      <c r="F46" s="155"/>
      <c r="G46" s="155"/>
      <c r="H46" s="155"/>
      <c r="I46" s="73"/>
      <c r="J46" s="95"/>
      <c r="K46" s="95"/>
      <c r="L46" s="96"/>
      <c r="M46" s="99"/>
      <c r="N46" s="100"/>
      <c r="O46" s="102"/>
      <c r="P46" s="103"/>
      <c r="Q46" s="120"/>
      <c r="R46" s="148"/>
    </row>
    <row r="47" spans="2:19" x14ac:dyDescent="0.2">
      <c r="B47" s="6"/>
      <c r="C47" s="84"/>
      <c r="D47" s="6"/>
      <c r="E47" s="6"/>
      <c r="F47" s="6"/>
      <c r="G47" s="6"/>
      <c r="H47" s="6"/>
      <c r="I47" s="73"/>
      <c r="J47" s="95"/>
      <c r="K47" s="95"/>
      <c r="L47" s="96"/>
      <c r="M47" s="99"/>
      <c r="N47" s="100"/>
      <c r="O47" s="102"/>
      <c r="P47" s="103"/>
      <c r="Q47" s="120"/>
      <c r="R47" s="148"/>
    </row>
    <row r="48" spans="2:19" ht="12.75" thickBot="1" x14ac:dyDescent="0.25">
      <c r="B48" s="155" t="s">
        <v>81</v>
      </c>
      <c r="C48" s="155"/>
      <c r="D48" s="155"/>
      <c r="E48" s="155"/>
      <c r="F48" s="155"/>
      <c r="G48" s="155"/>
      <c r="H48" s="155"/>
      <c r="I48" s="73"/>
      <c r="J48" s="95"/>
      <c r="K48" s="95"/>
      <c r="L48" s="96"/>
      <c r="M48" s="99"/>
      <c r="N48" s="100"/>
      <c r="O48" s="102"/>
      <c r="P48" s="103"/>
      <c r="Q48" s="120"/>
      <c r="R48" s="148"/>
    </row>
    <row r="49" spans="1:19" ht="13.5" thickBot="1" x14ac:dyDescent="0.25">
      <c r="A49" s="67"/>
      <c r="B49" s="64"/>
      <c r="C49" s="76"/>
      <c r="D49" s="149" t="s">
        <v>1</v>
      </c>
      <c r="E49" s="150"/>
      <c r="F49" s="151"/>
      <c r="G49" s="65"/>
      <c r="H49" s="66">
        <v>2022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27" customHeight="1" thickBot="1" x14ac:dyDescent="0.25">
      <c r="A50" s="41"/>
      <c r="B50" s="171" t="s">
        <v>2</v>
      </c>
      <c r="C50" s="172" t="s">
        <v>113</v>
      </c>
      <c r="D50" s="173" t="s">
        <v>3</v>
      </c>
      <c r="E50" s="173" t="s">
        <v>4</v>
      </c>
      <c r="F50" s="174" t="s">
        <v>114</v>
      </c>
      <c r="G50" s="173" t="s">
        <v>5</v>
      </c>
      <c r="H50" s="173" t="s">
        <v>6</v>
      </c>
      <c r="I50" s="173" t="s">
        <v>142</v>
      </c>
      <c r="J50" s="173" t="s">
        <v>143</v>
      </c>
      <c r="K50" s="173" t="s">
        <v>144</v>
      </c>
      <c r="L50" s="173" t="s">
        <v>146</v>
      </c>
      <c r="M50" s="173" t="s">
        <v>147</v>
      </c>
      <c r="N50" s="173" t="s">
        <v>148</v>
      </c>
      <c r="O50" s="173" t="s">
        <v>149</v>
      </c>
      <c r="P50" s="173" t="s">
        <v>150</v>
      </c>
      <c r="Q50" s="175" t="s">
        <v>152</v>
      </c>
      <c r="R50" s="175" t="s">
        <v>155</v>
      </c>
      <c r="S50" s="176" t="s">
        <v>157</v>
      </c>
    </row>
    <row r="51" spans="1:19" x14ac:dyDescent="0.2">
      <c r="A51" s="166">
        <v>0</v>
      </c>
      <c r="B51" s="15" t="s">
        <v>16</v>
      </c>
      <c r="C51" s="177"/>
      <c r="D51" s="8"/>
      <c r="E51" s="8"/>
      <c r="F51" s="8"/>
      <c r="G51" s="9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178"/>
    </row>
    <row r="52" spans="1:19" x14ac:dyDescent="0.2">
      <c r="A52" s="56">
        <v>11</v>
      </c>
      <c r="B52" s="15" t="s">
        <v>17</v>
      </c>
      <c r="C52" s="87">
        <v>188400</v>
      </c>
      <c r="D52" s="9"/>
      <c r="E52" s="9"/>
      <c r="F52" s="9">
        <v>6</v>
      </c>
      <c r="G52" s="9">
        <f t="shared" ref="G52:G88" si="3">+C52+D52-E52+F52</f>
        <v>188406</v>
      </c>
      <c r="H52" s="7">
        <f>4555.5+3169.5+4555.5+3169.5</f>
        <v>15450</v>
      </c>
      <c r="I52" s="7">
        <f>7725+3169.5+4555.5</f>
        <v>15450</v>
      </c>
      <c r="J52" s="7">
        <f>4555.5+3169.5+7725</f>
        <v>15450</v>
      </c>
      <c r="K52" s="7">
        <f>4555.5+3169.5+4555.5+3169.5</f>
        <v>15450</v>
      </c>
      <c r="L52" s="7">
        <f>7725+7725</f>
        <v>15450</v>
      </c>
      <c r="M52" s="7">
        <f>4555.5+3169.5+4555.5+3169.5</f>
        <v>15450</v>
      </c>
      <c r="N52" s="101">
        <f>4555.5+3169.5+7725</f>
        <v>15450</v>
      </c>
      <c r="O52" s="7">
        <f>7725+7725</f>
        <v>15450</v>
      </c>
      <c r="P52" s="7">
        <f>7725+7725</f>
        <v>15450</v>
      </c>
      <c r="Q52" s="7">
        <f>7725+7725</f>
        <v>15450</v>
      </c>
      <c r="R52" s="7">
        <v>7725</v>
      </c>
      <c r="S52" s="178">
        <f>SUM(H52:R52)</f>
        <v>162225</v>
      </c>
    </row>
    <row r="53" spans="1:19" ht="22.5" x14ac:dyDescent="0.2">
      <c r="A53" s="56">
        <v>15</v>
      </c>
      <c r="B53" s="15" t="s">
        <v>18</v>
      </c>
      <c r="C53" s="87">
        <v>6000</v>
      </c>
      <c r="D53" s="9"/>
      <c r="E53" s="9"/>
      <c r="F53" s="9"/>
      <c r="G53" s="9">
        <f t="shared" si="3"/>
        <v>6000</v>
      </c>
      <c r="H53" s="7">
        <f>125+125+125+125</f>
        <v>500</v>
      </c>
      <c r="I53" s="7">
        <f>250+125+125</f>
        <v>500</v>
      </c>
      <c r="J53" s="7">
        <f>125+125+250</f>
        <v>500</v>
      </c>
      <c r="K53" s="7">
        <f>125+125+125+125</f>
        <v>500</v>
      </c>
      <c r="L53" s="7">
        <f>250+250</f>
        <v>500</v>
      </c>
      <c r="M53" s="7">
        <f>250+250</f>
        <v>500</v>
      </c>
      <c r="N53" s="101">
        <f>125+125+250</f>
        <v>500</v>
      </c>
      <c r="O53" s="7">
        <f>250+250</f>
        <v>500</v>
      </c>
      <c r="P53" s="7">
        <f>250+250</f>
        <v>500</v>
      </c>
      <c r="Q53" s="7">
        <f>250+250</f>
        <v>500</v>
      </c>
      <c r="R53" s="7">
        <v>250</v>
      </c>
      <c r="S53" s="178">
        <f t="shared" ref="S53:S116" si="4">SUM(H53:R53)</f>
        <v>5250</v>
      </c>
    </row>
    <row r="54" spans="1:19" x14ac:dyDescent="0.2">
      <c r="A54" s="56">
        <v>22</v>
      </c>
      <c r="B54" s="15" t="s">
        <v>19</v>
      </c>
      <c r="C54" s="87">
        <v>117360</v>
      </c>
      <c r="D54" s="9"/>
      <c r="E54" s="9"/>
      <c r="F54" s="9">
        <v>29250</v>
      </c>
      <c r="G54" s="9">
        <f t="shared" si="3"/>
        <v>146610</v>
      </c>
      <c r="H54" s="7">
        <f>2375+2375</f>
        <v>4750</v>
      </c>
      <c r="I54" s="7">
        <f>2515+2375+4890</f>
        <v>9780</v>
      </c>
      <c r="J54" s="7">
        <f>2515+2375+4890</f>
        <v>9780</v>
      </c>
      <c r="K54" s="7">
        <f>2515+2375+2375+2515</f>
        <v>9780</v>
      </c>
      <c r="L54" s="7">
        <f>4890+4890</f>
        <v>9780</v>
      </c>
      <c r="M54" s="7">
        <f>2515+2375+2375+2515</f>
        <v>9780</v>
      </c>
      <c r="N54" s="101">
        <f>2515+2375+2375+2515</f>
        <v>9780</v>
      </c>
      <c r="O54" s="7">
        <f>4890+2375+2515</f>
        <v>9780</v>
      </c>
      <c r="P54" s="7">
        <f>4890+4890</f>
        <v>9780</v>
      </c>
      <c r="Q54" s="7">
        <f>2515+2375+4890</f>
        <v>9780</v>
      </c>
      <c r="R54" s="7">
        <v>4890</v>
      </c>
      <c r="S54" s="178">
        <f t="shared" si="4"/>
        <v>97660</v>
      </c>
    </row>
    <row r="55" spans="1:19" ht="22.5" x14ac:dyDescent="0.2">
      <c r="A55" s="56">
        <v>27</v>
      </c>
      <c r="B55" s="15" t="s">
        <v>20</v>
      </c>
      <c r="C55" s="87">
        <v>6000</v>
      </c>
      <c r="D55" s="9"/>
      <c r="E55" s="9"/>
      <c r="F55" s="9">
        <v>3000</v>
      </c>
      <c r="G55" s="9">
        <f t="shared" si="3"/>
        <v>9000</v>
      </c>
      <c r="H55" s="7">
        <f>125+125</f>
        <v>250</v>
      </c>
      <c r="I55" s="7">
        <f>125+125+250</f>
        <v>500</v>
      </c>
      <c r="J55" s="7">
        <f>125+125+250</f>
        <v>500</v>
      </c>
      <c r="K55" s="7">
        <f>125+125+125+125</f>
        <v>500</v>
      </c>
      <c r="L55" s="7">
        <f>250+250</f>
        <v>500</v>
      </c>
      <c r="M55" s="7">
        <f>250+250</f>
        <v>500</v>
      </c>
      <c r="N55" s="101">
        <f>125+125+125+125</f>
        <v>500</v>
      </c>
      <c r="O55" s="7">
        <f>250+125+125</f>
        <v>500</v>
      </c>
      <c r="P55" s="7">
        <f>250+250</f>
        <v>500</v>
      </c>
      <c r="Q55" s="7">
        <f>250+250</f>
        <v>500</v>
      </c>
      <c r="R55" s="7">
        <v>250</v>
      </c>
      <c r="S55" s="178">
        <f t="shared" si="4"/>
        <v>5000</v>
      </c>
    </row>
    <row r="56" spans="1:19" x14ac:dyDescent="0.2">
      <c r="A56" s="56">
        <v>51</v>
      </c>
      <c r="B56" s="15" t="s">
        <v>21</v>
      </c>
      <c r="C56" s="87">
        <v>32624.59</v>
      </c>
      <c r="D56" s="9"/>
      <c r="E56" s="9"/>
      <c r="F56" s="9">
        <v>3121.62</v>
      </c>
      <c r="G56" s="9">
        <f t="shared" si="3"/>
        <v>35746.21</v>
      </c>
      <c r="H56" s="7">
        <v>3373.35</v>
      </c>
      <c r="I56" s="7">
        <v>2155.34</v>
      </c>
      <c r="J56" s="7">
        <v>2692.04</v>
      </c>
      <c r="K56" s="7">
        <v>2692.04</v>
      </c>
      <c r="L56" s="7">
        <v>2692.04</v>
      </c>
      <c r="M56" s="7">
        <v>2692.04</v>
      </c>
      <c r="N56" s="7">
        <v>2692.04</v>
      </c>
      <c r="O56" s="7">
        <v>2692.04</v>
      </c>
      <c r="P56" s="7">
        <v>2692.04</v>
      </c>
      <c r="Q56" s="7">
        <v>2692.04</v>
      </c>
      <c r="R56" s="7">
        <v>2692.04</v>
      </c>
      <c r="S56" s="178">
        <f t="shared" si="4"/>
        <v>29757.050000000007</v>
      </c>
    </row>
    <row r="57" spans="1:19" x14ac:dyDescent="0.2">
      <c r="A57" s="56">
        <v>61</v>
      </c>
      <c r="B57" s="15" t="s">
        <v>22</v>
      </c>
      <c r="C57" s="87">
        <f>284160+12000</f>
        <v>296160</v>
      </c>
      <c r="D57" s="9"/>
      <c r="E57" s="9"/>
      <c r="F57" s="9"/>
      <c r="G57" s="9">
        <f t="shared" si="3"/>
        <v>296160</v>
      </c>
      <c r="H57" s="7">
        <f>7600+17080</f>
        <v>24680</v>
      </c>
      <c r="I57" s="7">
        <v>24680</v>
      </c>
      <c r="J57" s="7">
        <v>24680</v>
      </c>
      <c r="K57" s="7">
        <v>24680</v>
      </c>
      <c r="L57" s="7">
        <f>10800+13880</f>
        <v>24680</v>
      </c>
      <c r="M57" s="7">
        <v>24680</v>
      </c>
      <c r="N57" s="101">
        <v>24680</v>
      </c>
      <c r="O57" s="7">
        <v>24680</v>
      </c>
      <c r="P57" s="7">
        <f>19280+5400</f>
        <v>24680</v>
      </c>
      <c r="Q57" s="7">
        <f>19280+5400</f>
        <v>24680</v>
      </c>
      <c r="R57" s="7"/>
      <c r="S57" s="178">
        <f t="shared" si="4"/>
        <v>246800</v>
      </c>
    </row>
    <row r="58" spans="1:19" ht="22.5" x14ac:dyDescent="0.2">
      <c r="A58" s="56">
        <v>63</v>
      </c>
      <c r="B58" s="15" t="s">
        <v>23</v>
      </c>
      <c r="C58" s="87">
        <v>108000</v>
      </c>
      <c r="D58" s="9"/>
      <c r="E58" s="9"/>
      <c r="F58" s="9"/>
      <c r="G58" s="9">
        <f t="shared" si="3"/>
        <v>108000</v>
      </c>
      <c r="H58" s="7">
        <v>9000</v>
      </c>
      <c r="I58" s="7">
        <v>9000</v>
      </c>
      <c r="J58" s="7">
        <v>9000</v>
      </c>
      <c r="K58" s="7">
        <v>9000</v>
      </c>
      <c r="L58" s="7">
        <v>9000</v>
      </c>
      <c r="M58" s="7">
        <v>9000</v>
      </c>
      <c r="N58" s="101">
        <v>9000</v>
      </c>
      <c r="O58" s="7">
        <v>9000</v>
      </c>
      <c r="P58" s="7">
        <v>9000</v>
      </c>
      <c r="Q58" s="7">
        <v>9000</v>
      </c>
      <c r="R58" s="7"/>
      <c r="S58" s="178">
        <f t="shared" si="4"/>
        <v>90000</v>
      </c>
    </row>
    <row r="59" spans="1:19" x14ac:dyDescent="0.2">
      <c r="A59" s="56" t="s">
        <v>85</v>
      </c>
      <c r="B59" s="15" t="s">
        <v>24</v>
      </c>
      <c r="C59" s="87">
        <v>25480</v>
      </c>
      <c r="D59" s="9"/>
      <c r="E59" s="9"/>
      <c r="F59" s="9">
        <v>4670.5</v>
      </c>
      <c r="G59" s="9">
        <f t="shared" si="3"/>
        <v>30150.5</v>
      </c>
      <c r="H59" s="7">
        <f>4555.5+3169.5+1211.57+3438.69+2525.34</f>
        <v>14900.6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178">
        <f t="shared" si="4"/>
        <v>14900.6</v>
      </c>
    </row>
    <row r="60" spans="1:19" x14ac:dyDescent="0.2">
      <c r="A60" s="56">
        <v>72</v>
      </c>
      <c r="B60" s="15" t="s">
        <v>25</v>
      </c>
      <c r="C60" s="87">
        <v>25480</v>
      </c>
      <c r="D60" s="9"/>
      <c r="E60" s="9"/>
      <c r="F60" s="9">
        <v>4670.5</v>
      </c>
      <c r="G60" s="9">
        <f t="shared" si="3"/>
        <v>30150.5</v>
      </c>
      <c r="H60" s="7">
        <f>2394.52+2535.67+3195.55</f>
        <v>8125.7400000000007</v>
      </c>
      <c r="I60" s="7"/>
      <c r="J60" s="7"/>
      <c r="K60" s="7"/>
      <c r="L60" s="7"/>
      <c r="M60" s="7"/>
      <c r="N60" s="101">
        <v>19872.599999999999</v>
      </c>
      <c r="O60" s="7"/>
      <c r="P60" s="7"/>
      <c r="Q60" s="7"/>
      <c r="R60" s="7"/>
      <c r="S60" s="178">
        <f t="shared" si="4"/>
        <v>27998.34</v>
      </c>
    </row>
    <row r="61" spans="1:19" x14ac:dyDescent="0.2">
      <c r="A61" s="167" t="s">
        <v>86</v>
      </c>
      <c r="B61" s="15" t="s">
        <v>26</v>
      </c>
      <c r="C61" s="87">
        <v>20000</v>
      </c>
      <c r="D61" s="9"/>
      <c r="E61" s="9"/>
      <c r="F61" s="9">
        <v>15000</v>
      </c>
      <c r="G61" s="9">
        <f t="shared" si="3"/>
        <v>35000</v>
      </c>
      <c r="H61" s="7"/>
      <c r="I61" s="7"/>
      <c r="J61" s="7">
        <v>7800</v>
      </c>
      <c r="K61" s="7"/>
      <c r="L61" s="7"/>
      <c r="M61" s="7"/>
      <c r="N61" s="7">
        <v>8500</v>
      </c>
      <c r="O61" s="7"/>
      <c r="P61" s="7"/>
      <c r="Q61" s="7"/>
      <c r="R61" s="7"/>
      <c r="S61" s="178">
        <f t="shared" si="4"/>
        <v>16300</v>
      </c>
    </row>
    <row r="62" spans="1:19" x14ac:dyDescent="0.2">
      <c r="A62" s="56" t="s">
        <v>87</v>
      </c>
      <c r="B62" s="15" t="s">
        <v>27</v>
      </c>
      <c r="C62" s="88"/>
      <c r="D62" s="9"/>
      <c r="E62" s="9"/>
      <c r="F62" s="9"/>
      <c r="G62" s="9">
        <f t="shared" si="3"/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78">
        <f t="shared" si="4"/>
        <v>0</v>
      </c>
    </row>
    <row r="63" spans="1:19" x14ac:dyDescent="0.2">
      <c r="A63" s="56">
        <v>111</v>
      </c>
      <c r="B63" s="15" t="s">
        <v>28</v>
      </c>
      <c r="C63" s="88">
        <v>3500</v>
      </c>
      <c r="D63" s="9"/>
      <c r="E63" s="9"/>
      <c r="F63" s="9">
        <v>300</v>
      </c>
      <c r="G63" s="9">
        <f t="shared" si="3"/>
        <v>3800</v>
      </c>
      <c r="H63" s="7"/>
      <c r="I63" s="7">
        <v>561.46</v>
      </c>
      <c r="J63" s="7"/>
      <c r="K63" s="7">
        <v>599.61</v>
      </c>
      <c r="L63" s="7"/>
      <c r="M63" s="7">
        <v>311.47000000000003</v>
      </c>
      <c r="N63" s="7">
        <v>283.85000000000002</v>
      </c>
      <c r="O63" s="7">
        <v>631.62</v>
      </c>
      <c r="P63" s="7">
        <v>353.9</v>
      </c>
      <c r="Q63" s="7">
        <v>383.35</v>
      </c>
      <c r="R63" s="7"/>
      <c r="S63" s="178">
        <f t="shared" si="4"/>
        <v>3125.26</v>
      </c>
    </row>
    <row r="64" spans="1:19" s="3" customFormat="1" x14ac:dyDescent="0.2">
      <c r="A64" s="56">
        <v>112</v>
      </c>
      <c r="B64" s="15" t="s">
        <v>29</v>
      </c>
      <c r="C64" s="88">
        <v>5000</v>
      </c>
      <c r="D64" s="9"/>
      <c r="E64" s="9"/>
      <c r="F64" s="9"/>
      <c r="G64" s="9">
        <f t="shared" si="3"/>
        <v>5000</v>
      </c>
      <c r="H64" s="7"/>
      <c r="I64" s="7">
        <v>1958.41</v>
      </c>
      <c r="J64" s="7"/>
      <c r="K64" s="7">
        <v>1316.25</v>
      </c>
      <c r="L64" s="7"/>
      <c r="M64" s="7"/>
      <c r="N64" s="7">
        <v>1276.4100000000001</v>
      </c>
      <c r="O64" s="7">
        <v>479.91</v>
      </c>
      <c r="P64" s="7">
        <v>365.98</v>
      </c>
      <c r="Q64" s="7">
        <v>352.7</v>
      </c>
      <c r="R64" s="7"/>
      <c r="S64" s="178">
        <f t="shared" si="4"/>
        <v>5749.6599999999989</v>
      </c>
    </row>
    <row r="65" spans="1:19" s="3" customFormat="1" x14ac:dyDescent="0.2">
      <c r="A65" s="56">
        <v>113</v>
      </c>
      <c r="B65" s="15" t="s">
        <v>30</v>
      </c>
      <c r="C65" s="88">
        <v>10000</v>
      </c>
      <c r="D65" s="9"/>
      <c r="E65" s="9"/>
      <c r="F65" s="9">
        <v>5000</v>
      </c>
      <c r="G65" s="9">
        <f t="shared" si="3"/>
        <v>15000</v>
      </c>
      <c r="H65" s="7"/>
      <c r="I65" s="7">
        <f>300+1403.48</f>
        <v>1703.48</v>
      </c>
      <c r="J65" s="7">
        <f>100+300</f>
        <v>400</v>
      </c>
      <c r="K65" s="7">
        <f>438.76+955.42</f>
        <v>1394.1799999999998</v>
      </c>
      <c r="L65" s="7">
        <v>300</v>
      </c>
      <c r="M65" s="7">
        <f>1075.72+300</f>
        <v>1375.72</v>
      </c>
      <c r="N65" s="7">
        <v>840.9</v>
      </c>
      <c r="O65" s="7">
        <v>854.22</v>
      </c>
      <c r="P65" s="7">
        <v>853.91</v>
      </c>
      <c r="Q65" s="7">
        <f>100+2250+830.92</f>
        <v>3180.92</v>
      </c>
      <c r="R65" s="7"/>
      <c r="S65" s="178">
        <f t="shared" si="4"/>
        <v>10903.33</v>
      </c>
    </row>
    <row r="66" spans="1:19" s="3" customFormat="1" x14ac:dyDescent="0.2">
      <c r="A66" s="56">
        <v>114</v>
      </c>
      <c r="B66" s="15" t="s">
        <v>31</v>
      </c>
      <c r="C66" s="88">
        <v>250</v>
      </c>
      <c r="D66" s="9"/>
      <c r="E66" s="9"/>
      <c r="F66" s="9">
        <v>750</v>
      </c>
      <c r="G66" s="9">
        <f t="shared" si="3"/>
        <v>1000</v>
      </c>
      <c r="H66" s="7"/>
      <c r="I66" s="7"/>
      <c r="J66" s="7"/>
      <c r="K66" s="7"/>
      <c r="L66" s="7"/>
      <c r="M66" s="7"/>
      <c r="N66" s="101">
        <v>36.5</v>
      </c>
      <c r="O66" s="7">
        <v>36.5</v>
      </c>
      <c r="P66" s="7"/>
      <c r="Q66" s="7"/>
      <c r="R66" s="7"/>
      <c r="S66" s="178">
        <f t="shared" si="4"/>
        <v>73</v>
      </c>
    </row>
    <row r="67" spans="1:19" s="3" customFormat="1" ht="22.5" x14ac:dyDescent="0.2">
      <c r="A67" s="56">
        <v>115</v>
      </c>
      <c r="B67" s="15" t="s">
        <v>32</v>
      </c>
      <c r="C67" s="88">
        <v>1000</v>
      </c>
      <c r="D67" s="9"/>
      <c r="E67" s="9"/>
      <c r="F67" s="9">
        <v>-400</v>
      </c>
      <c r="G67" s="9">
        <f t="shared" si="3"/>
        <v>600</v>
      </c>
      <c r="H67" s="7"/>
      <c r="I67" s="7">
        <f>50+50</f>
        <v>100</v>
      </c>
      <c r="J67" s="7">
        <v>50</v>
      </c>
      <c r="K67" s="7">
        <v>50</v>
      </c>
      <c r="L67" s="7">
        <v>50</v>
      </c>
      <c r="M67" s="7">
        <v>50</v>
      </c>
      <c r="N67" s="7">
        <v>50</v>
      </c>
      <c r="O67" s="7">
        <v>50</v>
      </c>
      <c r="P67" s="7">
        <v>50</v>
      </c>
      <c r="Q67" s="7">
        <v>50</v>
      </c>
      <c r="R67" s="7"/>
      <c r="S67" s="178">
        <f t="shared" si="4"/>
        <v>500</v>
      </c>
    </row>
    <row r="68" spans="1:19" s="3" customFormat="1" x14ac:dyDescent="0.2">
      <c r="A68" s="56">
        <v>121</v>
      </c>
      <c r="B68" s="15" t="s">
        <v>33</v>
      </c>
      <c r="C68" s="88">
        <v>700</v>
      </c>
      <c r="D68" s="9"/>
      <c r="E68" s="9"/>
      <c r="F68" s="9">
        <v>5300</v>
      </c>
      <c r="G68" s="9">
        <f t="shared" si="3"/>
        <v>6000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178">
        <f t="shared" si="4"/>
        <v>0</v>
      </c>
    </row>
    <row r="69" spans="1:19" s="3" customFormat="1" x14ac:dyDescent="0.2">
      <c r="A69" s="56">
        <v>122</v>
      </c>
      <c r="B69" s="15" t="s">
        <v>129</v>
      </c>
      <c r="C69" s="88">
        <v>9500</v>
      </c>
      <c r="D69" s="9"/>
      <c r="E69" s="9"/>
      <c r="F69" s="9">
        <v>-2000</v>
      </c>
      <c r="G69" s="9">
        <f t="shared" si="3"/>
        <v>7500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78">
        <f t="shared" si="4"/>
        <v>0</v>
      </c>
    </row>
    <row r="70" spans="1:19" s="3" customFormat="1" x14ac:dyDescent="0.2">
      <c r="A70" s="56">
        <v>131</v>
      </c>
      <c r="B70" s="15" t="s">
        <v>34</v>
      </c>
      <c r="C70" s="88">
        <v>465000</v>
      </c>
      <c r="D70" s="9"/>
      <c r="E70" s="9"/>
      <c r="F70" s="9">
        <v>-65040</v>
      </c>
      <c r="G70" s="9">
        <f t="shared" si="3"/>
        <v>399960</v>
      </c>
      <c r="H70" s="7"/>
      <c r="I70" s="7"/>
      <c r="J70" s="7"/>
      <c r="K70" s="7"/>
      <c r="L70" s="7">
        <v>11000</v>
      </c>
      <c r="M70" s="7">
        <f>157839.36+48702.18</f>
        <v>206541.53999999998</v>
      </c>
      <c r="N70" s="7"/>
      <c r="O70" s="7">
        <f>104832+3600+3066</f>
        <v>111498</v>
      </c>
      <c r="P70" s="7"/>
      <c r="Q70" s="7"/>
      <c r="R70" s="7"/>
      <c r="S70" s="178">
        <f t="shared" si="4"/>
        <v>329039.53999999998</v>
      </c>
    </row>
    <row r="71" spans="1:19" s="3" customFormat="1" x14ac:dyDescent="0.2">
      <c r="A71" s="56" t="s">
        <v>88</v>
      </c>
      <c r="B71" s="15" t="s">
        <v>35</v>
      </c>
      <c r="C71" s="88">
        <v>160000</v>
      </c>
      <c r="D71" s="9"/>
      <c r="E71" s="9"/>
      <c r="F71" s="9">
        <v>-55209</v>
      </c>
      <c r="G71" s="9">
        <f t="shared" si="3"/>
        <v>104791</v>
      </c>
      <c r="H71" s="7"/>
      <c r="I71" s="7">
        <f>2310+1810</f>
        <v>4120</v>
      </c>
      <c r="J71" s="7">
        <f>6240+4655+544+1170+3431+805</f>
        <v>16845</v>
      </c>
      <c r="K71" s="7">
        <f>546+3080+4425+898</f>
        <v>8949</v>
      </c>
      <c r="L71" s="7">
        <f>510+1035</f>
        <v>1545</v>
      </c>
      <c r="M71" s="7">
        <f>250+2600+2550</f>
        <v>5400</v>
      </c>
      <c r="N71" s="7">
        <f>1155+1100+1350</f>
        <v>3605</v>
      </c>
      <c r="O71" s="7">
        <f>2045+24812.74</f>
        <v>26857.74</v>
      </c>
      <c r="P71" s="7">
        <f>778+2443</f>
        <v>3221</v>
      </c>
      <c r="Q71" s="7">
        <f>3668+1500+2700+750</f>
        <v>8618</v>
      </c>
      <c r="R71" s="7">
        <f>2523+2024+398</f>
        <v>4945</v>
      </c>
      <c r="S71" s="178">
        <f t="shared" si="4"/>
        <v>84105.74</v>
      </c>
    </row>
    <row r="72" spans="1:19" s="3" customFormat="1" x14ac:dyDescent="0.2">
      <c r="A72" s="56" t="s">
        <v>89</v>
      </c>
      <c r="B72" s="15" t="s">
        <v>36</v>
      </c>
      <c r="C72" s="88">
        <v>30000</v>
      </c>
      <c r="D72" s="9"/>
      <c r="E72" s="9"/>
      <c r="F72" s="9">
        <v>30500</v>
      </c>
      <c r="G72" s="9">
        <f t="shared" si="3"/>
        <v>60500</v>
      </c>
      <c r="H72" s="7"/>
      <c r="I72" s="7"/>
      <c r="J72" s="7">
        <v>4500</v>
      </c>
      <c r="K72" s="7">
        <v>4800</v>
      </c>
      <c r="L72" s="7"/>
      <c r="M72" s="7"/>
      <c r="N72" s="7">
        <v>5500</v>
      </c>
      <c r="O72" s="7"/>
      <c r="P72" s="7"/>
      <c r="Q72" s="7">
        <f>8500+7000</f>
        <v>15500</v>
      </c>
      <c r="R72" s="7">
        <v>7000</v>
      </c>
      <c r="S72" s="178">
        <f t="shared" si="4"/>
        <v>37300</v>
      </c>
    </row>
    <row r="73" spans="1:19" s="3" customFormat="1" ht="22.5" x14ac:dyDescent="0.2">
      <c r="A73" s="56">
        <v>151</v>
      </c>
      <c r="B73" s="15" t="s">
        <v>37</v>
      </c>
      <c r="C73" s="88">
        <v>103725</v>
      </c>
      <c r="D73" s="9"/>
      <c r="E73" s="9"/>
      <c r="F73" s="9">
        <v>5175</v>
      </c>
      <c r="G73" s="9">
        <f t="shared" si="3"/>
        <v>108900</v>
      </c>
      <c r="H73" s="7">
        <v>8268.74</v>
      </c>
      <c r="I73" s="74">
        <v>8268.74</v>
      </c>
      <c r="J73" s="7">
        <v>8268.74</v>
      </c>
      <c r="K73" s="7"/>
      <c r="L73" s="7">
        <v>8268.74</v>
      </c>
      <c r="M73" s="7">
        <v>8268.74</v>
      </c>
      <c r="N73" s="7">
        <v>8268.74</v>
      </c>
      <c r="O73" s="7">
        <v>8268.74</v>
      </c>
      <c r="P73" s="7">
        <v>8268.74</v>
      </c>
      <c r="Q73" s="7">
        <f>8268.74+4875</f>
        <v>13143.74</v>
      </c>
      <c r="R73" s="7">
        <v>8268.74</v>
      </c>
      <c r="S73" s="178">
        <f t="shared" si="4"/>
        <v>87562.400000000009</v>
      </c>
    </row>
    <row r="74" spans="1:19" s="3" customFormat="1" ht="22.5" x14ac:dyDescent="0.2">
      <c r="A74" s="56">
        <v>152</v>
      </c>
      <c r="B74" s="15" t="s">
        <v>38</v>
      </c>
      <c r="C74" s="88">
        <v>2500</v>
      </c>
      <c r="D74" s="9"/>
      <c r="E74" s="9"/>
      <c r="F74" s="9"/>
      <c r="G74" s="9">
        <f t="shared" si="3"/>
        <v>2500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178">
        <f t="shared" si="4"/>
        <v>0</v>
      </c>
    </row>
    <row r="75" spans="1:19" s="3" customFormat="1" ht="22.5" x14ac:dyDescent="0.2">
      <c r="A75" s="56">
        <v>153</v>
      </c>
      <c r="B75" s="15" t="s">
        <v>39</v>
      </c>
      <c r="C75" s="88">
        <v>8500</v>
      </c>
      <c r="D75" s="9"/>
      <c r="E75" s="9"/>
      <c r="F75" s="9"/>
      <c r="G75" s="9">
        <f t="shared" si="3"/>
        <v>8500</v>
      </c>
      <c r="H75" s="7">
        <v>600</v>
      </c>
      <c r="I75" s="7">
        <v>761.64</v>
      </c>
      <c r="J75" s="7">
        <v>600</v>
      </c>
      <c r="K75" s="7">
        <v>738.96</v>
      </c>
      <c r="L75" s="7">
        <v>646.62</v>
      </c>
      <c r="M75" s="7">
        <v>653.82000000000005</v>
      </c>
      <c r="N75" s="7">
        <v>600</v>
      </c>
      <c r="O75" s="7">
        <v>600</v>
      </c>
      <c r="P75" s="7">
        <v>828.78</v>
      </c>
      <c r="Q75" s="7">
        <v>600</v>
      </c>
      <c r="R75" s="7">
        <v>758.04</v>
      </c>
      <c r="S75" s="178">
        <f t="shared" si="4"/>
        <v>7387.86</v>
      </c>
    </row>
    <row r="76" spans="1:19" s="3" customFormat="1" ht="22.5" x14ac:dyDescent="0.2">
      <c r="A76" s="56">
        <v>155</v>
      </c>
      <c r="B76" s="15" t="s">
        <v>40</v>
      </c>
      <c r="C76" s="88">
        <v>56640.29</v>
      </c>
      <c r="D76" s="88"/>
      <c r="E76" s="88"/>
      <c r="F76" s="88">
        <v>21139.71</v>
      </c>
      <c r="G76" s="9">
        <f t="shared" si="3"/>
        <v>77780</v>
      </c>
      <c r="H76" s="7">
        <v>21900</v>
      </c>
      <c r="I76" s="7">
        <f>21900+1460</f>
        <v>23360</v>
      </c>
      <c r="J76" s="7">
        <f>2550+11400</f>
        <v>13950</v>
      </c>
      <c r="K76" s="74">
        <f>8268.74+900+1700+1500+1460+4000</f>
        <v>17828.739999999998</v>
      </c>
      <c r="L76" s="74">
        <f>3750+2100+4600</f>
        <v>10450</v>
      </c>
      <c r="M76" s="7">
        <f>15311.52+1100+9988.48</f>
        <v>26400</v>
      </c>
      <c r="N76" s="7">
        <v>3300</v>
      </c>
      <c r="O76" s="7">
        <f>8080+1500+3800</f>
        <v>13380</v>
      </c>
      <c r="P76" s="7">
        <v>350</v>
      </c>
      <c r="Q76" s="7">
        <v>4950</v>
      </c>
      <c r="R76" s="7"/>
      <c r="S76" s="178">
        <f t="shared" si="4"/>
        <v>135868.74</v>
      </c>
    </row>
    <row r="77" spans="1:19" s="3" customFormat="1" ht="22.5" x14ac:dyDescent="0.2">
      <c r="A77" s="56">
        <v>161</v>
      </c>
      <c r="B77" s="15" t="s">
        <v>90</v>
      </c>
      <c r="C77" s="88">
        <v>2500</v>
      </c>
      <c r="D77" s="9"/>
      <c r="E77" s="9"/>
      <c r="F77" s="9">
        <v>2500</v>
      </c>
      <c r="G77" s="9">
        <f t="shared" si="3"/>
        <v>5000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78">
        <f t="shared" si="4"/>
        <v>0</v>
      </c>
    </row>
    <row r="78" spans="1:19" s="3" customFormat="1" ht="22.5" x14ac:dyDescent="0.2">
      <c r="A78" s="56">
        <v>164</v>
      </c>
      <c r="B78" s="15" t="s">
        <v>41</v>
      </c>
      <c r="C78" s="88">
        <v>35000</v>
      </c>
      <c r="D78" s="9"/>
      <c r="E78" s="9">
        <v>10000</v>
      </c>
      <c r="F78" s="9">
        <v>25000</v>
      </c>
      <c r="G78" s="9">
        <f t="shared" si="3"/>
        <v>50000</v>
      </c>
      <c r="H78" s="7">
        <v>4450</v>
      </c>
      <c r="I78" s="7"/>
      <c r="J78" s="7">
        <v>900</v>
      </c>
      <c r="K78" s="7">
        <f>2250+5700</f>
        <v>7950</v>
      </c>
      <c r="L78" s="7"/>
      <c r="M78" s="7"/>
      <c r="N78" s="7"/>
      <c r="O78" s="7"/>
      <c r="P78" s="7"/>
      <c r="Q78" s="7">
        <v>4025</v>
      </c>
      <c r="R78" s="7"/>
      <c r="S78" s="178">
        <f t="shared" si="4"/>
        <v>17325</v>
      </c>
    </row>
    <row r="79" spans="1:19" s="3" customFormat="1" ht="22.5" x14ac:dyDescent="0.2">
      <c r="A79" s="56" t="s">
        <v>91</v>
      </c>
      <c r="B79" s="15" t="s">
        <v>42</v>
      </c>
      <c r="C79" s="88">
        <v>1500</v>
      </c>
      <c r="D79" s="9"/>
      <c r="E79" s="9"/>
      <c r="F79" s="9"/>
      <c r="G79" s="9">
        <f t="shared" si="3"/>
        <v>1500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78">
        <f t="shared" si="4"/>
        <v>0</v>
      </c>
    </row>
    <row r="80" spans="1:19" s="3" customFormat="1" ht="22.5" x14ac:dyDescent="0.2">
      <c r="A80" s="56">
        <v>169</v>
      </c>
      <c r="B80" s="15" t="s">
        <v>92</v>
      </c>
      <c r="C80" s="88">
        <v>5000</v>
      </c>
      <c r="D80" s="9"/>
      <c r="E80" s="9"/>
      <c r="F80" s="9">
        <v>500</v>
      </c>
      <c r="G80" s="9">
        <f t="shared" si="3"/>
        <v>5500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178">
        <f t="shared" si="4"/>
        <v>0</v>
      </c>
    </row>
    <row r="81" spans="1:19" s="3" customFormat="1" x14ac:dyDescent="0.2">
      <c r="A81" s="56">
        <v>182</v>
      </c>
      <c r="B81" s="15" t="s">
        <v>93</v>
      </c>
      <c r="C81" s="88">
        <v>15000</v>
      </c>
      <c r="D81" s="9"/>
      <c r="E81" s="9"/>
      <c r="F81" s="9"/>
      <c r="G81" s="9">
        <f t="shared" si="3"/>
        <v>15000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178">
        <f t="shared" si="4"/>
        <v>0</v>
      </c>
    </row>
    <row r="82" spans="1:19" s="3" customFormat="1" x14ac:dyDescent="0.2">
      <c r="A82" s="56">
        <v>183</v>
      </c>
      <c r="B82" s="15" t="s">
        <v>43</v>
      </c>
      <c r="C82" s="88">
        <v>5000</v>
      </c>
      <c r="D82" s="9"/>
      <c r="E82" s="9"/>
      <c r="F82" s="9">
        <v>20000</v>
      </c>
      <c r="G82" s="9">
        <f t="shared" si="3"/>
        <v>25000</v>
      </c>
      <c r="H82" s="7"/>
      <c r="I82" s="7"/>
      <c r="J82" s="7">
        <f>1872+250</f>
        <v>2122</v>
      </c>
      <c r="K82" s="7"/>
      <c r="L82" s="7"/>
      <c r="M82" s="7"/>
      <c r="N82" s="7">
        <v>2600</v>
      </c>
      <c r="O82" s="7">
        <v>1725</v>
      </c>
      <c r="P82" s="7"/>
      <c r="Q82" s="7"/>
      <c r="R82" s="7"/>
      <c r="S82" s="178">
        <f t="shared" si="4"/>
        <v>6447</v>
      </c>
    </row>
    <row r="83" spans="1:19" s="3" customFormat="1" x14ac:dyDescent="0.2">
      <c r="A83" s="56">
        <v>185</v>
      </c>
      <c r="B83" s="15" t="s">
        <v>44</v>
      </c>
      <c r="C83" s="88">
        <v>15000</v>
      </c>
      <c r="D83" s="9"/>
      <c r="E83" s="9"/>
      <c r="F83" s="9">
        <v>-10000</v>
      </c>
      <c r="G83" s="9">
        <f t="shared" si="3"/>
        <v>5000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178">
        <f t="shared" si="4"/>
        <v>0</v>
      </c>
    </row>
    <row r="84" spans="1:19" s="3" customFormat="1" ht="22.5" x14ac:dyDescent="0.2">
      <c r="A84" s="56">
        <v>186</v>
      </c>
      <c r="B84" s="15" t="s">
        <v>45</v>
      </c>
      <c r="C84" s="88">
        <v>5500</v>
      </c>
      <c r="D84" s="9"/>
      <c r="E84" s="9"/>
      <c r="F84" s="9"/>
      <c r="G84" s="9">
        <f t="shared" si="3"/>
        <v>5500</v>
      </c>
      <c r="H84" s="7"/>
      <c r="I84" s="7">
        <v>575</v>
      </c>
      <c r="J84" s="7"/>
      <c r="K84" s="7"/>
      <c r="L84" s="7"/>
      <c r="M84" s="7"/>
      <c r="N84" s="7"/>
      <c r="O84" s="7"/>
      <c r="P84" s="7"/>
      <c r="Q84" s="7"/>
      <c r="R84" s="7">
        <v>7329.4</v>
      </c>
      <c r="S84" s="178">
        <f t="shared" si="4"/>
        <v>7904.4</v>
      </c>
    </row>
    <row r="85" spans="1:19" s="3" customFormat="1" x14ac:dyDescent="0.2">
      <c r="A85" s="56">
        <v>189</v>
      </c>
      <c r="B85" s="15" t="s">
        <v>46</v>
      </c>
      <c r="C85" s="88">
        <v>833200.17</v>
      </c>
      <c r="D85" s="9"/>
      <c r="E85" s="9"/>
      <c r="F85" s="9">
        <v>182253.8</v>
      </c>
      <c r="G85" s="9">
        <f t="shared" si="3"/>
        <v>1015453.97</v>
      </c>
      <c r="H85" s="7">
        <f>11600+6000+7400</f>
        <v>25000</v>
      </c>
      <c r="I85" s="7">
        <f>32500+6800+3300</f>
        <v>42600</v>
      </c>
      <c r="J85" s="7">
        <f>2800+5765+3700+22470+28800+11180+18900+8280+9035+4600</f>
        <v>115530</v>
      </c>
      <c r="K85" s="7">
        <f>3700+1850+22470+28800+10100+13660</f>
        <v>80580</v>
      </c>
      <c r="L85" s="7">
        <f>4000+3700+38900+4000</f>
        <v>50600</v>
      </c>
      <c r="M85" s="7">
        <f>24000+22470+3700+28800+10100</f>
        <v>89070</v>
      </c>
      <c r="N85" s="7">
        <v>87056</v>
      </c>
      <c r="O85" s="7">
        <f>3240+7700+2000+38900</f>
        <v>51840</v>
      </c>
      <c r="P85" s="7">
        <f>4000+3700+16900+22000+4000</f>
        <v>50600</v>
      </c>
      <c r="Q85" s="7">
        <f>3700+38645+60800+14300+13400+10000+7200</f>
        <v>148045</v>
      </c>
      <c r="R85" s="7">
        <f>6400+3700</f>
        <v>10100</v>
      </c>
      <c r="S85" s="178">
        <f t="shared" si="4"/>
        <v>751021</v>
      </c>
    </row>
    <row r="86" spans="1:19" s="3" customFormat="1" ht="22.5" x14ac:dyDescent="0.2">
      <c r="A86" s="56">
        <v>191</v>
      </c>
      <c r="B86" s="15" t="s">
        <v>94</v>
      </c>
      <c r="C86" s="88">
        <v>200</v>
      </c>
      <c r="D86" s="9"/>
      <c r="E86" s="9"/>
      <c r="F86" s="9"/>
      <c r="G86" s="9">
        <v>200</v>
      </c>
      <c r="H86" s="7"/>
      <c r="I86" s="7"/>
      <c r="J86" s="7"/>
      <c r="K86" s="7"/>
      <c r="L86" s="7"/>
      <c r="M86" s="7">
        <v>8202.6</v>
      </c>
      <c r="N86" s="7"/>
      <c r="O86" s="7">
        <v>2278.5</v>
      </c>
      <c r="P86" s="7"/>
      <c r="Q86" s="7"/>
      <c r="R86" s="7"/>
      <c r="S86" s="178">
        <f t="shared" si="4"/>
        <v>10481.1</v>
      </c>
    </row>
    <row r="87" spans="1:19" s="3" customFormat="1" ht="22.5" x14ac:dyDescent="0.2">
      <c r="A87" s="56" t="s">
        <v>95</v>
      </c>
      <c r="B87" s="15" t="s">
        <v>96</v>
      </c>
      <c r="C87" s="88">
        <v>500</v>
      </c>
      <c r="D87" s="9"/>
      <c r="E87" s="9"/>
      <c r="F87" s="9"/>
      <c r="G87" s="9">
        <f t="shared" si="3"/>
        <v>500</v>
      </c>
      <c r="H87" s="7"/>
      <c r="I87" s="7"/>
      <c r="J87" s="7"/>
      <c r="K87" s="7"/>
      <c r="L87" s="7"/>
      <c r="M87" s="7"/>
      <c r="N87" s="7"/>
      <c r="O87" s="7"/>
      <c r="P87" s="7"/>
      <c r="Q87" s="7">
        <f>159.09+4.2</f>
        <v>163.29</v>
      </c>
      <c r="R87" s="7"/>
      <c r="S87" s="178">
        <f t="shared" si="4"/>
        <v>163.29</v>
      </c>
    </row>
    <row r="88" spans="1:19" s="3" customFormat="1" x14ac:dyDescent="0.2">
      <c r="A88" s="56">
        <f>195</f>
        <v>195</v>
      </c>
      <c r="B88" s="15" t="s">
        <v>97</v>
      </c>
      <c r="C88" s="88">
        <v>1500</v>
      </c>
      <c r="D88" s="9"/>
      <c r="E88" s="9"/>
      <c r="F88" s="9"/>
      <c r="G88" s="9">
        <f t="shared" si="3"/>
        <v>1500</v>
      </c>
      <c r="H88" s="7">
        <v>27.27</v>
      </c>
      <c r="I88" s="7">
        <v>23.86</v>
      </c>
      <c r="J88" s="7">
        <v>31.02</v>
      </c>
      <c r="K88" s="7">
        <v>25.12</v>
      </c>
      <c r="L88" s="7">
        <v>45.45</v>
      </c>
      <c r="M88" s="7">
        <v>35.31</v>
      </c>
      <c r="N88" s="7">
        <v>81.45</v>
      </c>
      <c r="O88" s="7">
        <v>68.72</v>
      </c>
      <c r="P88" s="7">
        <v>43.12</v>
      </c>
      <c r="Q88" s="7">
        <v>70.510000000000005</v>
      </c>
      <c r="R88" s="7">
        <v>16.5</v>
      </c>
      <c r="S88" s="178">
        <f t="shared" si="4"/>
        <v>468.33000000000004</v>
      </c>
    </row>
    <row r="89" spans="1:19" s="3" customFormat="1" ht="22.5" x14ac:dyDescent="0.2">
      <c r="A89" s="56">
        <v>196</v>
      </c>
      <c r="B89" s="15" t="s">
        <v>47</v>
      </c>
      <c r="C89" s="88">
        <v>30000</v>
      </c>
      <c r="D89" s="88">
        <v>10000</v>
      </c>
      <c r="E89" s="88"/>
      <c r="F89" s="88">
        <v>168730</v>
      </c>
      <c r="G89" s="9">
        <f>+C89+D89-E89+F89</f>
        <v>208730</v>
      </c>
      <c r="H89" s="7"/>
      <c r="I89" s="7">
        <v>32850</v>
      </c>
      <c r="J89" s="7">
        <f>468+12550+2800+34775</f>
        <v>50593</v>
      </c>
      <c r="K89" s="74">
        <f>4346+13910+6955</f>
        <v>25211</v>
      </c>
      <c r="L89" s="74">
        <f>700+950+468+468+32100</f>
        <v>34686</v>
      </c>
      <c r="M89" s="74"/>
      <c r="N89" s="7">
        <v>1000</v>
      </c>
      <c r="O89" s="7"/>
      <c r="P89" s="7">
        <f>600+30590.01</f>
        <v>31190.01</v>
      </c>
      <c r="Q89" s="7">
        <f>29960+6420+21670</f>
        <v>58050</v>
      </c>
      <c r="R89" s="7"/>
      <c r="S89" s="178">
        <f t="shared" si="4"/>
        <v>233580.01</v>
      </c>
    </row>
    <row r="90" spans="1:19" s="3" customFormat="1" x14ac:dyDescent="0.2">
      <c r="A90" s="56">
        <v>197</v>
      </c>
      <c r="B90" s="15" t="s">
        <v>48</v>
      </c>
      <c r="C90" s="88">
        <v>40000</v>
      </c>
      <c r="D90" s="9"/>
      <c r="E90" s="9"/>
      <c r="F90" s="9">
        <v>500</v>
      </c>
      <c r="G90" s="9">
        <f>+C90+D90-E90+F90</f>
        <v>40500</v>
      </c>
      <c r="H90" s="7">
        <v>977.5</v>
      </c>
      <c r="I90" s="7">
        <v>977.5</v>
      </c>
      <c r="J90" s="7">
        <v>977.5</v>
      </c>
      <c r="K90" s="7">
        <f>977.5+4790</f>
        <v>5767.5</v>
      </c>
      <c r="L90" s="7">
        <v>977.5</v>
      </c>
      <c r="M90" s="7">
        <v>977.5</v>
      </c>
      <c r="N90" s="7">
        <v>977.5</v>
      </c>
      <c r="O90" s="7">
        <v>977.5</v>
      </c>
      <c r="P90" s="7">
        <v>977.5</v>
      </c>
      <c r="Q90" s="7">
        <v>7000</v>
      </c>
      <c r="R90" s="7">
        <v>1955</v>
      </c>
      <c r="S90" s="178">
        <f t="shared" si="4"/>
        <v>22542.5</v>
      </c>
    </row>
    <row r="91" spans="1:19" s="3" customFormat="1" ht="22.5" x14ac:dyDescent="0.2">
      <c r="A91" s="56">
        <v>199</v>
      </c>
      <c r="B91" s="51" t="s">
        <v>49</v>
      </c>
      <c r="C91" s="88">
        <v>50000</v>
      </c>
      <c r="D91" s="9"/>
      <c r="E91" s="9"/>
      <c r="F91" s="9">
        <v>7144</v>
      </c>
      <c r="G91" s="9">
        <f>+C91+D91-E91+F91</f>
        <v>57144</v>
      </c>
      <c r="H91" s="7"/>
      <c r="I91" s="7">
        <f>62+385</f>
        <v>447</v>
      </c>
      <c r="J91" s="7">
        <f>101.25+1679.5+25.25+950+165</f>
        <v>2921</v>
      </c>
      <c r="K91" s="7">
        <f>90.25+142.5</f>
        <v>232.75</v>
      </c>
      <c r="L91" s="7">
        <f>196+2742.25</f>
        <v>2938.25</v>
      </c>
      <c r="M91" s="7">
        <f>205.25+411.75</f>
        <v>617</v>
      </c>
      <c r="N91" s="7">
        <f>115+206+105.75</f>
        <v>426.75</v>
      </c>
      <c r="O91" s="7">
        <f>40+115.5+15104.5</f>
        <v>15260</v>
      </c>
      <c r="P91" s="7">
        <f>135+141</f>
        <v>276</v>
      </c>
      <c r="Q91" s="7">
        <f>283.25+1688+120.25+98.25+1346.3</f>
        <v>3536.05</v>
      </c>
      <c r="R91" s="7">
        <f>185.5+45.5+15.25</f>
        <v>246.25</v>
      </c>
      <c r="S91" s="178">
        <f t="shared" si="4"/>
        <v>26901.05</v>
      </c>
    </row>
    <row r="92" spans="1:19" s="3" customFormat="1" x14ac:dyDescent="0.2">
      <c r="A92" s="56" t="s">
        <v>98</v>
      </c>
      <c r="B92" s="15" t="s">
        <v>50</v>
      </c>
      <c r="C92" s="88"/>
      <c r="D92" s="9"/>
      <c r="E92" s="9"/>
      <c r="F92" s="9"/>
      <c r="G92" s="9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78">
        <f t="shared" si="4"/>
        <v>0</v>
      </c>
    </row>
    <row r="93" spans="1:19" s="3" customFormat="1" x14ac:dyDescent="0.2">
      <c r="A93" s="56">
        <v>211</v>
      </c>
      <c r="B93" s="15" t="s">
        <v>51</v>
      </c>
      <c r="C93" s="88">
        <v>185000</v>
      </c>
      <c r="D93" s="88"/>
      <c r="E93" s="88"/>
      <c r="F93" s="88">
        <v>82446.350000000006</v>
      </c>
      <c r="G93" s="9">
        <f t="shared" ref="G93:G111" si="5">+C93+D93-E93+F93</f>
        <v>267446.34999999998</v>
      </c>
      <c r="H93" s="7">
        <v>34106</v>
      </c>
      <c r="I93" s="7">
        <f>1523.95+1039.6</f>
        <v>2563.5500000000002</v>
      </c>
      <c r="J93" s="7">
        <f>2349+505+894+2311.7+9117+25255+598+1445.25+15275</f>
        <v>57749.95</v>
      </c>
      <c r="K93" s="74">
        <f>1676+1898+1533+960+6110+3055+992.95</f>
        <v>16224.95</v>
      </c>
      <c r="L93" s="74">
        <f>630+3246+350+368+14687.5</f>
        <v>19281.5</v>
      </c>
      <c r="M93" s="74">
        <f>1164+929</f>
        <v>2093</v>
      </c>
      <c r="N93" s="7">
        <f>1500+25380+182+2850+4100+937+3024+1093.5</f>
        <v>39066.5</v>
      </c>
      <c r="O93" s="7">
        <f>1953+1225.5+799</f>
        <v>3977.5</v>
      </c>
      <c r="P93" s="74">
        <f>1003.6+39770+1697</f>
        <v>42470.6</v>
      </c>
      <c r="Q93" s="7">
        <f>639+1503.95+677+14805+936+2820+51800</f>
        <v>73180.95</v>
      </c>
      <c r="R93" s="7">
        <f>1169+1451</f>
        <v>2620</v>
      </c>
      <c r="S93" s="178">
        <f t="shared" si="4"/>
        <v>293334.5</v>
      </c>
    </row>
    <row r="94" spans="1:19" s="3" customFormat="1" ht="22.5" x14ac:dyDescent="0.2">
      <c r="A94" s="56" t="s">
        <v>99</v>
      </c>
      <c r="B94" s="15" t="s">
        <v>52</v>
      </c>
      <c r="C94" s="88">
        <v>39500</v>
      </c>
      <c r="D94" s="88"/>
      <c r="E94" s="88"/>
      <c r="F94" s="88">
        <v>15500</v>
      </c>
      <c r="G94" s="9">
        <f t="shared" si="5"/>
        <v>55000</v>
      </c>
      <c r="H94" s="7"/>
      <c r="I94" s="7"/>
      <c r="J94" s="7"/>
      <c r="K94" s="74"/>
      <c r="L94" s="74">
        <f>8640+7062</f>
        <v>15702</v>
      </c>
      <c r="M94" s="74"/>
      <c r="N94" s="7">
        <v>1260</v>
      </c>
      <c r="O94" s="7">
        <v>810</v>
      </c>
      <c r="P94" s="74"/>
      <c r="Q94" s="7">
        <f>15640</f>
        <v>15640</v>
      </c>
      <c r="R94" s="7"/>
      <c r="S94" s="178">
        <f t="shared" si="4"/>
        <v>33412</v>
      </c>
    </row>
    <row r="95" spans="1:19" s="3" customFormat="1" x14ac:dyDescent="0.2">
      <c r="A95" s="56" t="s">
        <v>100</v>
      </c>
      <c r="B95" s="15" t="s">
        <v>53</v>
      </c>
      <c r="C95" s="88">
        <v>1000</v>
      </c>
      <c r="D95" s="88"/>
      <c r="E95" s="88"/>
      <c r="F95" s="88">
        <v>1500</v>
      </c>
      <c r="G95" s="9">
        <f t="shared" si="5"/>
        <v>2500</v>
      </c>
      <c r="H95" s="7">
        <v>329.9</v>
      </c>
      <c r="I95" s="7"/>
      <c r="J95" s="7">
        <v>65</v>
      </c>
      <c r="K95" s="74">
        <f>700+171.6</f>
        <v>871.6</v>
      </c>
      <c r="L95" s="74"/>
      <c r="M95" s="74"/>
      <c r="N95" s="7">
        <v>161.69999999999999</v>
      </c>
      <c r="O95" s="7"/>
      <c r="P95" s="7">
        <v>297.39999999999998</v>
      </c>
      <c r="Q95" s="7">
        <f>1680+1910</f>
        <v>3590</v>
      </c>
      <c r="R95" s="7"/>
      <c r="S95" s="178">
        <f t="shared" si="4"/>
        <v>5315.6</v>
      </c>
    </row>
    <row r="96" spans="1:19" s="3" customFormat="1" ht="22.5" x14ac:dyDescent="0.2">
      <c r="A96" s="56" t="s">
        <v>101</v>
      </c>
      <c r="B96" s="15" t="s">
        <v>54</v>
      </c>
      <c r="C96" s="88">
        <v>1000</v>
      </c>
      <c r="D96" s="88"/>
      <c r="E96" s="88"/>
      <c r="F96" s="88">
        <v>500</v>
      </c>
      <c r="G96" s="9">
        <f t="shared" si="5"/>
        <v>1500</v>
      </c>
      <c r="H96" s="7"/>
      <c r="I96" s="7">
        <f>111.95+125.65</f>
        <v>237.60000000000002</v>
      </c>
      <c r="J96" s="7">
        <v>110.85</v>
      </c>
      <c r="K96" s="74"/>
      <c r="L96" s="74"/>
      <c r="M96" s="74">
        <v>166.5</v>
      </c>
      <c r="N96" s="7"/>
      <c r="O96" s="7"/>
      <c r="P96" s="7">
        <v>154.5</v>
      </c>
      <c r="Q96" s="7">
        <f>575.3+76.65</f>
        <v>651.94999999999993</v>
      </c>
      <c r="R96" s="7"/>
      <c r="S96" s="178">
        <f t="shared" si="4"/>
        <v>1321.4</v>
      </c>
    </row>
    <row r="97" spans="1:19" s="3" customFormat="1" ht="22.5" x14ac:dyDescent="0.2">
      <c r="A97" s="56">
        <v>244</v>
      </c>
      <c r="B97" s="15" t="s">
        <v>55</v>
      </c>
      <c r="C97" s="88">
        <v>2500</v>
      </c>
      <c r="D97" s="88"/>
      <c r="E97" s="88"/>
      <c r="F97" s="88">
        <v>-2500</v>
      </c>
      <c r="G97" s="9">
        <f t="shared" si="5"/>
        <v>0</v>
      </c>
      <c r="H97" s="7"/>
      <c r="I97" s="7"/>
      <c r="J97" s="7"/>
      <c r="K97" s="74"/>
      <c r="L97" s="74"/>
      <c r="M97" s="74"/>
      <c r="N97" s="7"/>
      <c r="O97" s="7"/>
      <c r="P97" s="7"/>
      <c r="Q97" s="7"/>
      <c r="R97" s="7">
        <v>87</v>
      </c>
      <c r="S97" s="178">
        <f t="shared" si="4"/>
        <v>87</v>
      </c>
    </row>
    <row r="98" spans="1:19" s="3" customFormat="1" x14ac:dyDescent="0.2">
      <c r="A98" s="56">
        <v>245</v>
      </c>
      <c r="B98" s="15" t="s">
        <v>132</v>
      </c>
      <c r="C98" s="88">
        <v>5000</v>
      </c>
      <c r="D98" s="9">
        <v>10000</v>
      </c>
      <c r="E98" s="88"/>
      <c r="F98" s="88">
        <v>7000</v>
      </c>
      <c r="G98" s="9">
        <f t="shared" si="5"/>
        <v>22000</v>
      </c>
      <c r="H98" s="7"/>
      <c r="I98" s="7"/>
      <c r="J98" s="7"/>
      <c r="K98" s="74">
        <v>13300</v>
      </c>
      <c r="L98" s="74"/>
      <c r="M98" s="74"/>
      <c r="N98" s="7"/>
      <c r="O98" s="7"/>
      <c r="P98" s="7"/>
      <c r="Q98" s="7"/>
      <c r="R98" s="7"/>
      <c r="S98" s="178">
        <f t="shared" si="4"/>
        <v>13300</v>
      </c>
    </row>
    <row r="99" spans="1:19" s="3" customFormat="1" x14ac:dyDescent="0.2">
      <c r="A99" s="56">
        <v>247</v>
      </c>
      <c r="B99" s="15" t="s">
        <v>56</v>
      </c>
      <c r="C99" s="88">
        <v>500</v>
      </c>
      <c r="D99" s="88"/>
      <c r="E99" s="88"/>
      <c r="F99" s="88">
        <v>500</v>
      </c>
      <c r="G99" s="9">
        <f t="shared" si="5"/>
        <v>1000</v>
      </c>
      <c r="H99" s="7"/>
      <c r="I99" s="7"/>
      <c r="J99" s="7"/>
      <c r="K99" s="74"/>
      <c r="L99" s="74"/>
      <c r="M99" s="74"/>
      <c r="N99" s="7">
        <v>138.6</v>
      </c>
      <c r="O99" s="7"/>
      <c r="P99" s="7"/>
      <c r="Q99" s="7"/>
      <c r="R99" s="7"/>
      <c r="S99" s="178">
        <f t="shared" si="4"/>
        <v>138.6</v>
      </c>
    </row>
    <row r="100" spans="1:19" s="3" customFormat="1" x14ac:dyDescent="0.2">
      <c r="A100" s="56">
        <v>262</v>
      </c>
      <c r="B100" s="15" t="s">
        <v>57</v>
      </c>
      <c r="C100" s="88">
        <v>20000</v>
      </c>
      <c r="D100" s="88"/>
      <c r="E100" s="88"/>
      <c r="F100" s="88">
        <v>32500</v>
      </c>
      <c r="G100" s="9">
        <f t="shared" si="5"/>
        <v>52500</v>
      </c>
      <c r="H100" s="7"/>
      <c r="I100" s="7">
        <f>1415.02+820.3</f>
        <v>2235.3199999999997</v>
      </c>
      <c r="J100" s="7">
        <f>400+1969.88+1630.17+825+2409.18</f>
        <v>7234.23</v>
      </c>
      <c r="K100" s="74">
        <f>1678.06+650+2034.83</f>
        <v>4362.8899999999994</v>
      </c>
      <c r="L100" s="74">
        <f>2781.01+810</f>
        <v>3591.01</v>
      </c>
      <c r="M100" s="74">
        <f>2662.52+1100</f>
        <v>3762.52</v>
      </c>
      <c r="N100" s="7">
        <f>1659.78+3178.38+2345</f>
        <v>7183.16</v>
      </c>
      <c r="O100" s="7">
        <f>350+630+1986.27</f>
        <v>2966.27</v>
      </c>
      <c r="P100" s="7">
        <f>555.01+664.86</f>
        <v>1219.8699999999999</v>
      </c>
      <c r="Q100" s="7"/>
      <c r="R100" s="7"/>
      <c r="S100" s="178">
        <f t="shared" si="4"/>
        <v>32555.269999999997</v>
      </c>
    </row>
    <row r="101" spans="1:19" s="3" customFormat="1" ht="22.5" x14ac:dyDescent="0.2">
      <c r="A101" s="56">
        <v>266</v>
      </c>
      <c r="B101" s="15" t="s">
        <v>58</v>
      </c>
      <c r="C101" s="88">
        <v>10000</v>
      </c>
      <c r="D101" s="88"/>
      <c r="E101" s="88"/>
      <c r="F101" s="88">
        <v>14000</v>
      </c>
      <c r="G101" s="9">
        <f t="shared" si="5"/>
        <v>24000</v>
      </c>
      <c r="H101" s="7"/>
      <c r="I101" s="7"/>
      <c r="J101" s="7"/>
      <c r="K101" s="74"/>
      <c r="L101" s="74"/>
      <c r="M101" s="74"/>
      <c r="N101" s="7"/>
      <c r="O101" s="7"/>
      <c r="P101" s="7"/>
      <c r="Q101" s="7">
        <f>1430.03+2293.48+1052.11+2401.1</f>
        <v>7176.7199999999993</v>
      </c>
      <c r="R101" s="7">
        <f>619.83+1946.5+685.05</f>
        <v>3251.38</v>
      </c>
      <c r="S101" s="178">
        <f t="shared" si="4"/>
        <v>10428.099999999999</v>
      </c>
    </row>
    <row r="102" spans="1:19" s="3" customFormat="1" ht="22.5" x14ac:dyDescent="0.2">
      <c r="A102" s="56" t="s">
        <v>102</v>
      </c>
      <c r="B102" s="15" t="s">
        <v>59</v>
      </c>
      <c r="C102" s="88">
        <v>1500</v>
      </c>
      <c r="D102" s="88"/>
      <c r="E102" s="88"/>
      <c r="F102" s="88">
        <v>900</v>
      </c>
      <c r="G102" s="9">
        <f t="shared" si="5"/>
        <v>2400</v>
      </c>
      <c r="H102" s="7"/>
      <c r="I102" s="7"/>
      <c r="J102" s="7">
        <v>862.5</v>
      </c>
      <c r="K102" s="74"/>
      <c r="L102" s="74"/>
      <c r="M102" s="74"/>
      <c r="N102" s="7">
        <v>383.6</v>
      </c>
      <c r="O102" s="7"/>
      <c r="P102" s="7"/>
      <c r="Q102" s="7">
        <v>714.5</v>
      </c>
      <c r="R102" s="7"/>
      <c r="S102" s="178">
        <f t="shared" si="4"/>
        <v>1960.6</v>
      </c>
    </row>
    <row r="103" spans="1:19" s="3" customFormat="1" ht="22.5" x14ac:dyDescent="0.2">
      <c r="A103" s="56">
        <v>268</v>
      </c>
      <c r="B103" s="15" t="s">
        <v>60</v>
      </c>
      <c r="C103" s="88">
        <v>15000</v>
      </c>
      <c r="D103" s="88"/>
      <c r="E103" s="88"/>
      <c r="F103" s="88">
        <v>10000</v>
      </c>
      <c r="G103" s="9">
        <f t="shared" si="5"/>
        <v>25000</v>
      </c>
      <c r="H103" s="7"/>
      <c r="I103" s="7"/>
      <c r="J103" s="7">
        <f>250+142.9</f>
        <v>392.9</v>
      </c>
      <c r="K103" s="74"/>
      <c r="L103" s="74">
        <f>300+1750</f>
        <v>2050</v>
      </c>
      <c r="M103" s="74">
        <v>418</v>
      </c>
      <c r="N103" s="7"/>
      <c r="O103" s="7"/>
      <c r="P103" s="7">
        <v>127.5</v>
      </c>
      <c r="Q103" s="7"/>
      <c r="R103" s="7"/>
      <c r="S103" s="178">
        <f t="shared" si="4"/>
        <v>2988.4</v>
      </c>
    </row>
    <row r="104" spans="1:19" s="3" customFormat="1" ht="22.5" x14ac:dyDescent="0.2">
      <c r="A104" s="56">
        <v>279</v>
      </c>
      <c r="B104" s="15" t="s">
        <v>135</v>
      </c>
      <c r="C104" s="88">
        <v>0</v>
      </c>
      <c r="D104" s="88"/>
      <c r="E104" s="88"/>
      <c r="F104" s="88">
        <v>0</v>
      </c>
      <c r="G104" s="9">
        <f t="shared" si="5"/>
        <v>0</v>
      </c>
      <c r="H104" s="7"/>
      <c r="I104" s="7"/>
      <c r="J104" s="7"/>
      <c r="K104" s="74"/>
      <c r="L104" s="74"/>
      <c r="M104" s="74"/>
      <c r="N104" s="7"/>
      <c r="O104" s="7"/>
      <c r="P104" s="7"/>
      <c r="Q104" s="7">
        <f>1098.8+3106</f>
        <v>4204.8</v>
      </c>
      <c r="R104" s="7">
        <v>24.25</v>
      </c>
      <c r="S104" s="178">
        <f t="shared" si="4"/>
        <v>4229.05</v>
      </c>
    </row>
    <row r="105" spans="1:19" s="3" customFormat="1" ht="27" customHeight="1" x14ac:dyDescent="0.2">
      <c r="A105" s="56">
        <v>283</v>
      </c>
      <c r="B105" s="15" t="s">
        <v>61</v>
      </c>
      <c r="C105" s="88">
        <v>1500</v>
      </c>
      <c r="D105" s="88"/>
      <c r="E105" s="88"/>
      <c r="F105" s="88"/>
      <c r="G105" s="9">
        <f t="shared" si="5"/>
        <v>1500</v>
      </c>
      <c r="H105" s="7"/>
      <c r="I105" s="7">
        <v>39.75</v>
      </c>
      <c r="J105" s="7">
        <v>97.75</v>
      </c>
      <c r="K105" s="74">
        <v>113.5</v>
      </c>
      <c r="L105" s="74"/>
      <c r="M105" s="74"/>
      <c r="N105" s="7">
        <v>231.65</v>
      </c>
      <c r="O105" s="7"/>
      <c r="P105" s="7"/>
      <c r="Q105" s="7"/>
      <c r="R105" s="7"/>
      <c r="S105" s="178">
        <f t="shared" si="4"/>
        <v>482.65</v>
      </c>
    </row>
    <row r="106" spans="1:19" s="3" customFormat="1" ht="23.25" customHeight="1" x14ac:dyDescent="0.2">
      <c r="A106" s="56" t="s">
        <v>103</v>
      </c>
      <c r="B106" s="15" t="s">
        <v>62</v>
      </c>
      <c r="C106" s="88">
        <v>2000</v>
      </c>
      <c r="D106" s="88"/>
      <c r="E106" s="88"/>
      <c r="F106" s="88">
        <v>1600</v>
      </c>
      <c r="G106" s="9">
        <f t="shared" si="5"/>
        <v>3600</v>
      </c>
      <c r="H106" s="7">
        <v>454.35</v>
      </c>
      <c r="I106" s="7"/>
      <c r="J106" s="7">
        <f>235+38</f>
        <v>273</v>
      </c>
      <c r="K106" s="74">
        <v>578</v>
      </c>
      <c r="L106" s="74">
        <v>22</v>
      </c>
      <c r="M106" s="74">
        <v>73.7</v>
      </c>
      <c r="N106" s="7">
        <v>300</v>
      </c>
      <c r="O106" s="7"/>
      <c r="P106" s="7">
        <v>445</v>
      </c>
      <c r="Q106" s="7">
        <v>524.91</v>
      </c>
      <c r="R106" s="7">
        <v>156.75</v>
      </c>
      <c r="S106" s="178">
        <f t="shared" si="4"/>
        <v>2827.71</v>
      </c>
    </row>
    <row r="107" spans="1:19" s="3" customFormat="1" ht="22.5" x14ac:dyDescent="0.2">
      <c r="A107" s="56" t="s">
        <v>104</v>
      </c>
      <c r="B107" s="15" t="s">
        <v>63</v>
      </c>
      <c r="C107" s="88">
        <v>1500</v>
      </c>
      <c r="D107" s="88"/>
      <c r="E107" s="88"/>
      <c r="F107" s="88">
        <v>1000</v>
      </c>
      <c r="G107" s="9">
        <f t="shared" si="5"/>
        <v>2500</v>
      </c>
      <c r="H107" s="7"/>
      <c r="I107" s="7">
        <f>590+226.25</f>
        <v>816.25</v>
      </c>
      <c r="J107" s="7"/>
      <c r="K107" s="74"/>
      <c r="L107" s="74"/>
      <c r="M107" s="74"/>
      <c r="N107" s="7"/>
      <c r="O107" s="7"/>
      <c r="P107" s="7">
        <v>482.5</v>
      </c>
      <c r="Q107" s="7"/>
      <c r="R107" s="7"/>
      <c r="S107" s="178">
        <f t="shared" si="4"/>
        <v>1298.75</v>
      </c>
    </row>
    <row r="108" spans="1:19" s="3" customFormat="1" ht="22.5" x14ac:dyDescent="0.2">
      <c r="A108" s="56">
        <v>294</v>
      </c>
      <c r="B108" s="15" t="s">
        <v>64</v>
      </c>
      <c r="C108" s="88">
        <v>200840.29</v>
      </c>
      <c r="D108" s="88"/>
      <c r="E108" s="88"/>
      <c r="F108" s="88">
        <v>49159.713000000003</v>
      </c>
      <c r="G108" s="9">
        <f t="shared" si="5"/>
        <v>250000.00300000003</v>
      </c>
      <c r="H108" s="7"/>
      <c r="I108" s="7"/>
      <c r="J108" s="7">
        <v>6320</v>
      </c>
      <c r="K108" s="74"/>
      <c r="L108" s="74"/>
      <c r="M108" s="74"/>
      <c r="N108" s="7">
        <v>36500</v>
      </c>
      <c r="O108" s="7"/>
      <c r="P108" s="7">
        <v>19810</v>
      </c>
      <c r="Q108" s="7"/>
      <c r="R108" s="7"/>
      <c r="S108" s="178">
        <f t="shared" si="4"/>
        <v>62630</v>
      </c>
    </row>
    <row r="109" spans="1:19" s="3" customFormat="1" ht="22.5" x14ac:dyDescent="0.2">
      <c r="A109" s="56">
        <v>296</v>
      </c>
      <c r="B109" s="15" t="s">
        <v>105</v>
      </c>
      <c r="C109" s="88"/>
      <c r="D109" s="88"/>
      <c r="E109" s="88"/>
      <c r="F109" s="88"/>
      <c r="G109" s="9">
        <f t="shared" si="5"/>
        <v>0</v>
      </c>
      <c r="H109" s="7"/>
      <c r="I109" s="7"/>
      <c r="J109" s="7"/>
      <c r="K109" s="74"/>
      <c r="L109" s="74"/>
      <c r="M109" s="74"/>
      <c r="N109" s="7"/>
      <c r="O109" s="7"/>
      <c r="P109" s="7"/>
      <c r="Q109" s="7"/>
      <c r="R109" s="7">
        <f>984+580</f>
        <v>1564</v>
      </c>
      <c r="S109" s="178">
        <f t="shared" si="4"/>
        <v>1564</v>
      </c>
    </row>
    <row r="110" spans="1:19" s="3" customFormat="1" ht="22.5" x14ac:dyDescent="0.2">
      <c r="A110" s="56">
        <v>297</v>
      </c>
      <c r="B110" s="15" t="s">
        <v>136</v>
      </c>
      <c r="C110" s="88">
        <v>1000</v>
      </c>
      <c r="D110" s="88"/>
      <c r="E110" s="88"/>
      <c r="F110" s="88">
        <v>-1000</v>
      </c>
      <c r="G110" s="9">
        <f t="shared" si="5"/>
        <v>0</v>
      </c>
      <c r="H110" s="7"/>
      <c r="I110" s="7"/>
      <c r="J110" s="7"/>
      <c r="K110" s="74"/>
      <c r="L110" s="74"/>
      <c r="M110" s="74"/>
      <c r="N110" s="7"/>
      <c r="O110" s="7"/>
      <c r="P110" s="7"/>
      <c r="Q110" s="7"/>
      <c r="R110" s="7"/>
      <c r="S110" s="178">
        <f t="shared" si="4"/>
        <v>0</v>
      </c>
    </row>
    <row r="111" spans="1:19" s="3" customFormat="1" ht="22.5" x14ac:dyDescent="0.2">
      <c r="A111" s="56" t="s">
        <v>106</v>
      </c>
      <c r="B111" s="15" t="s">
        <v>65</v>
      </c>
      <c r="C111" s="88">
        <v>10000</v>
      </c>
      <c r="D111" s="88"/>
      <c r="E111" s="88"/>
      <c r="F111" s="88">
        <v>-7500</v>
      </c>
      <c r="G111" s="9">
        <f t="shared" si="5"/>
        <v>2500</v>
      </c>
      <c r="H111" s="7"/>
      <c r="I111" s="7"/>
      <c r="J111" s="7"/>
      <c r="K111" s="74"/>
      <c r="L111" s="74">
        <v>761.23</v>
      </c>
      <c r="M111" s="74"/>
      <c r="N111" s="7"/>
      <c r="O111" s="7"/>
      <c r="P111" s="7">
        <v>37.200000000000003</v>
      </c>
      <c r="Q111" s="7">
        <v>215</v>
      </c>
      <c r="R111" s="7"/>
      <c r="S111" s="178">
        <f t="shared" si="4"/>
        <v>1013.4300000000001</v>
      </c>
    </row>
    <row r="112" spans="1:19" s="3" customFormat="1" x14ac:dyDescent="0.2">
      <c r="A112" s="168" t="s">
        <v>107</v>
      </c>
      <c r="B112" s="53" t="s">
        <v>66</v>
      </c>
      <c r="C112" s="88"/>
      <c r="D112" s="88"/>
      <c r="E112" s="88"/>
      <c r="F112" s="88"/>
      <c r="G112" s="9"/>
      <c r="H112" s="7"/>
      <c r="I112" s="7"/>
      <c r="J112" s="7"/>
      <c r="K112" s="74"/>
      <c r="L112" s="74"/>
      <c r="M112" s="74"/>
      <c r="N112" s="7"/>
      <c r="O112" s="7"/>
      <c r="P112" s="7"/>
      <c r="Q112" s="7">
        <f>726.5+235.03</f>
        <v>961.53</v>
      </c>
      <c r="R112" s="7">
        <v>500</v>
      </c>
      <c r="S112" s="178">
        <f t="shared" si="4"/>
        <v>1461.53</v>
      </c>
    </row>
    <row r="113" spans="1:19" s="3" customFormat="1" x14ac:dyDescent="0.2">
      <c r="A113" s="56">
        <v>322</v>
      </c>
      <c r="B113" s="15" t="s">
        <v>67</v>
      </c>
      <c r="C113" s="88">
        <v>5000</v>
      </c>
      <c r="D113" s="9"/>
      <c r="E113" s="9"/>
      <c r="F113" s="9">
        <v>1000</v>
      </c>
      <c r="G113" s="9">
        <f>C113+D113-E113+F113</f>
        <v>6000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178">
        <f t="shared" si="4"/>
        <v>0</v>
      </c>
    </row>
    <row r="114" spans="1:19" s="3" customFormat="1" ht="22.5" x14ac:dyDescent="0.2">
      <c r="A114" s="56">
        <v>324</v>
      </c>
      <c r="B114" s="15" t="s">
        <v>84</v>
      </c>
      <c r="C114" s="88"/>
      <c r="D114" s="9"/>
      <c r="E114" s="9">
        <v>10000</v>
      </c>
      <c r="F114" s="9">
        <v>20000</v>
      </c>
      <c r="G114" s="9">
        <f>C114+D114-E114+F114</f>
        <v>10000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178">
        <f t="shared" si="4"/>
        <v>0</v>
      </c>
    </row>
    <row r="115" spans="1:19" s="3" customFormat="1" x14ac:dyDescent="0.2">
      <c r="A115" s="56">
        <v>328</v>
      </c>
      <c r="B115" s="15" t="s">
        <v>68</v>
      </c>
      <c r="C115" s="88">
        <v>2500</v>
      </c>
      <c r="D115" s="9"/>
      <c r="E115" s="9">
        <v>10000</v>
      </c>
      <c r="F115" s="9">
        <v>22500</v>
      </c>
      <c r="G115" s="9">
        <f>C115+D115-E115+F115</f>
        <v>15000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178">
        <f t="shared" si="4"/>
        <v>0</v>
      </c>
    </row>
    <row r="116" spans="1:19" s="3" customFormat="1" x14ac:dyDescent="0.2">
      <c r="A116" s="56">
        <v>329</v>
      </c>
      <c r="B116" s="15" t="s">
        <v>83</v>
      </c>
      <c r="C116" s="88">
        <v>15500</v>
      </c>
      <c r="D116" s="9">
        <v>10000</v>
      </c>
      <c r="E116" s="9"/>
      <c r="F116" s="9">
        <v>-15500</v>
      </c>
      <c r="G116" s="9">
        <f>C116+D116-E116+F116</f>
        <v>10000</v>
      </c>
      <c r="H116" s="7">
        <v>4875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78">
        <f t="shared" si="4"/>
        <v>4875</v>
      </c>
    </row>
    <row r="117" spans="1:19" x14ac:dyDescent="0.2">
      <c r="A117" s="56" t="s">
        <v>108</v>
      </c>
      <c r="B117" s="15" t="s">
        <v>69</v>
      </c>
      <c r="C117" s="88"/>
      <c r="D117" s="9"/>
      <c r="E117" s="9"/>
      <c r="F117" s="9"/>
      <c r="G117" s="9">
        <f t="shared" ref="G117:G127" si="6">C117+D117-E117+F117</f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178">
        <f t="shared" ref="S117:S137" si="7">SUM(H117:R117)</f>
        <v>0</v>
      </c>
    </row>
    <row r="118" spans="1:19" x14ac:dyDescent="0.2">
      <c r="A118" s="56" t="s">
        <v>109</v>
      </c>
      <c r="B118" s="15" t="s">
        <v>70</v>
      </c>
      <c r="C118" s="88">
        <v>25480</v>
      </c>
      <c r="D118" s="9"/>
      <c r="E118" s="9"/>
      <c r="F118" s="9">
        <v>5031.2</v>
      </c>
      <c r="G118" s="9">
        <f t="shared" si="6"/>
        <v>30511.200000000001</v>
      </c>
      <c r="H118" s="7">
        <f>7395.5+5627.17+2793.61</f>
        <v>15816.28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178">
        <f t="shared" si="7"/>
        <v>15816.28</v>
      </c>
    </row>
    <row r="119" spans="1:19" ht="22.5" x14ac:dyDescent="0.2">
      <c r="A119" s="56">
        <v>415</v>
      </c>
      <c r="B119" s="15" t="s">
        <v>71</v>
      </c>
      <c r="C119" s="88">
        <v>9500</v>
      </c>
      <c r="D119" s="9"/>
      <c r="E119" s="9"/>
      <c r="F119" s="9">
        <v>5309.5</v>
      </c>
      <c r="G119" s="9">
        <f t="shared" si="6"/>
        <v>14809.5</v>
      </c>
      <c r="H119" s="7">
        <f>3169.5+2347.33+1187.5</f>
        <v>6704.33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178">
        <f t="shared" si="7"/>
        <v>6704.33</v>
      </c>
    </row>
    <row r="120" spans="1:19" ht="22.5" x14ac:dyDescent="0.2">
      <c r="A120" s="56">
        <v>419</v>
      </c>
      <c r="B120" s="15" t="s">
        <v>72</v>
      </c>
      <c r="C120" s="88">
        <f>222727.4-1638.63</f>
        <v>221088.77</v>
      </c>
      <c r="D120" s="9"/>
      <c r="E120" s="9"/>
      <c r="F120" s="9">
        <v>33911.230000000003</v>
      </c>
      <c r="G120" s="9">
        <f t="shared" si="6"/>
        <v>255000</v>
      </c>
      <c r="H120" s="7"/>
      <c r="I120" s="7"/>
      <c r="J120" s="7"/>
      <c r="K120" s="7"/>
      <c r="L120" s="7"/>
      <c r="M120" s="7">
        <v>3000</v>
      </c>
      <c r="N120" s="7"/>
      <c r="O120" s="7"/>
      <c r="P120" s="7">
        <f>29793+8349+6768+1500+1500</f>
        <v>47910</v>
      </c>
      <c r="Q120" s="7"/>
      <c r="R120" s="7"/>
      <c r="S120" s="178">
        <f t="shared" si="7"/>
        <v>50910</v>
      </c>
    </row>
    <row r="121" spans="1:19" ht="33.75" x14ac:dyDescent="0.2">
      <c r="A121" s="56">
        <v>472</v>
      </c>
      <c r="B121" s="15" t="s">
        <v>73</v>
      </c>
      <c r="C121" s="88">
        <v>58749.16</v>
      </c>
      <c r="D121" s="9"/>
      <c r="E121" s="9"/>
      <c r="F121" s="9">
        <v>4200.84</v>
      </c>
      <c r="G121" s="9">
        <f t="shared" si="6"/>
        <v>62950</v>
      </c>
      <c r="H121" s="7"/>
      <c r="I121" s="7"/>
      <c r="J121" s="7"/>
      <c r="K121" s="7"/>
      <c r="L121" s="7">
        <f>31703.29+3911.21</f>
        <v>35614.5</v>
      </c>
      <c r="M121" s="7"/>
      <c r="N121" s="7">
        <v>8211.39</v>
      </c>
      <c r="O121" s="7">
        <v>7803.06</v>
      </c>
      <c r="P121" s="7"/>
      <c r="Q121" s="7"/>
      <c r="R121" s="7"/>
      <c r="S121" s="178">
        <f t="shared" si="7"/>
        <v>51628.95</v>
      </c>
    </row>
    <row r="122" spans="1:19" ht="22.5" x14ac:dyDescent="0.2">
      <c r="A122" s="56"/>
      <c r="B122" s="15" t="s">
        <v>110</v>
      </c>
      <c r="C122" s="88"/>
      <c r="D122" s="9"/>
      <c r="E122" s="9"/>
      <c r="F122" s="179"/>
      <c r="G122" s="9">
        <f t="shared" si="6"/>
        <v>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178">
        <f t="shared" si="7"/>
        <v>0</v>
      </c>
    </row>
    <row r="123" spans="1:19" ht="22.5" x14ac:dyDescent="0.2">
      <c r="A123" s="56"/>
      <c r="B123" s="15" t="s">
        <v>117</v>
      </c>
      <c r="C123" s="88">
        <v>0</v>
      </c>
      <c r="D123" s="9"/>
      <c r="E123" s="9"/>
      <c r="F123" s="179"/>
      <c r="G123" s="9">
        <f t="shared" si="6"/>
        <v>0</v>
      </c>
      <c r="H123" s="20">
        <v>1603.14</v>
      </c>
      <c r="I123" s="7">
        <v>1603.14</v>
      </c>
      <c r="J123" s="7">
        <v>1603.14</v>
      </c>
      <c r="K123" s="7">
        <v>3988.19</v>
      </c>
      <c r="L123" s="7">
        <v>1603.14</v>
      </c>
      <c r="M123" s="7">
        <v>1603.14</v>
      </c>
      <c r="N123" s="7">
        <v>1603.14</v>
      </c>
      <c r="O123" s="7">
        <v>1848.68</v>
      </c>
      <c r="P123" s="7">
        <v>1603.14</v>
      </c>
      <c r="Q123" s="7">
        <v>1603.14</v>
      </c>
      <c r="R123" s="7">
        <v>2121.27</v>
      </c>
      <c r="S123" s="178">
        <f t="shared" si="7"/>
        <v>20783.259999999998</v>
      </c>
    </row>
    <row r="124" spans="1:19" x14ac:dyDescent="0.2">
      <c r="A124" s="56"/>
      <c r="B124" s="15" t="s">
        <v>118</v>
      </c>
      <c r="C124" s="88">
        <v>0</v>
      </c>
      <c r="D124" s="9"/>
      <c r="E124" s="9"/>
      <c r="F124" s="179"/>
      <c r="G124" s="9">
        <f t="shared" si="6"/>
        <v>0</v>
      </c>
      <c r="H124" s="20">
        <v>930.6</v>
      </c>
      <c r="I124" s="7">
        <f>178+178+103.55+103.55</f>
        <v>563.1</v>
      </c>
      <c r="J124" s="7">
        <v>707.98</v>
      </c>
      <c r="K124" s="7">
        <v>485.74</v>
      </c>
      <c r="L124" s="7">
        <v>485.74</v>
      </c>
      <c r="M124" s="7">
        <v>485.74</v>
      </c>
      <c r="N124" s="7">
        <v>485.74</v>
      </c>
      <c r="O124" s="7">
        <v>485.74</v>
      </c>
      <c r="P124" s="7">
        <v>485.74</v>
      </c>
      <c r="Q124" s="7">
        <v>485.74</v>
      </c>
      <c r="R124" s="7">
        <v>485.74</v>
      </c>
      <c r="S124" s="178">
        <f t="shared" si="7"/>
        <v>6087.5999999999985</v>
      </c>
    </row>
    <row r="125" spans="1:19" x14ac:dyDescent="0.2">
      <c r="A125" s="56"/>
      <c r="B125" s="15" t="s">
        <v>119</v>
      </c>
      <c r="C125" s="88">
        <v>0</v>
      </c>
      <c r="D125" s="9"/>
      <c r="E125" s="9"/>
      <c r="F125" s="9"/>
      <c r="G125" s="9">
        <f t="shared" si="6"/>
        <v>0</v>
      </c>
      <c r="H125" s="20">
        <f>750+2823.9+2560.8+2504.1</f>
        <v>8638.8000000000011</v>
      </c>
      <c r="I125" s="74"/>
      <c r="J125" s="7"/>
      <c r="K125" s="7"/>
      <c r="L125" s="7"/>
      <c r="M125" s="7"/>
      <c r="N125" s="7">
        <v>300</v>
      </c>
      <c r="O125" s="7"/>
      <c r="P125" s="7"/>
      <c r="Q125" s="7">
        <f>977.1+3813.9</f>
        <v>4791</v>
      </c>
      <c r="R125" s="7"/>
      <c r="S125" s="178">
        <f t="shared" si="7"/>
        <v>13729.800000000001</v>
      </c>
    </row>
    <row r="126" spans="1:19" ht="22.5" x14ac:dyDescent="0.2">
      <c r="A126" s="56"/>
      <c r="B126" s="15" t="s">
        <v>120</v>
      </c>
      <c r="C126" s="88">
        <v>0</v>
      </c>
      <c r="D126" s="9"/>
      <c r="E126" s="9"/>
      <c r="F126" s="9"/>
      <c r="G126" s="9">
        <f t="shared" si="6"/>
        <v>0</v>
      </c>
      <c r="H126" s="20"/>
      <c r="I126" s="7"/>
      <c r="J126" s="7"/>
      <c r="K126" s="7"/>
      <c r="L126" s="7"/>
      <c r="M126" s="7"/>
      <c r="N126" s="7"/>
      <c r="O126" s="7"/>
      <c r="P126" s="7"/>
      <c r="Q126" s="7"/>
      <c r="R126" s="7">
        <v>2343.2199999999998</v>
      </c>
      <c r="S126" s="178">
        <f t="shared" si="7"/>
        <v>2343.2199999999998</v>
      </c>
    </row>
    <row r="127" spans="1:19" x14ac:dyDescent="0.2">
      <c r="A127" s="56"/>
      <c r="B127" s="15" t="s">
        <v>121</v>
      </c>
      <c r="C127" s="88">
        <v>0</v>
      </c>
      <c r="D127" s="9"/>
      <c r="E127" s="9"/>
      <c r="F127" s="9"/>
      <c r="G127" s="9">
        <f t="shared" si="6"/>
        <v>0</v>
      </c>
      <c r="H127" s="20">
        <v>1524.77</v>
      </c>
      <c r="I127" s="7">
        <v>975.65</v>
      </c>
      <c r="J127" s="7">
        <v>1218.5999999999999</v>
      </c>
      <c r="K127" s="7">
        <v>1218.5999999999999</v>
      </c>
      <c r="L127" s="7">
        <v>1218.5999999999999</v>
      </c>
      <c r="M127" s="7">
        <v>1218.5999999999999</v>
      </c>
      <c r="N127" s="7">
        <v>1218.5999999999999</v>
      </c>
      <c r="O127" s="7">
        <v>1218.5999999999999</v>
      </c>
      <c r="P127" s="7">
        <v>1218.5999999999999</v>
      </c>
      <c r="Q127" s="7">
        <v>1218.5999999999999</v>
      </c>
      <c r="R127" s="7">
        <v>1218.5999999999999</v>
      </c>
      <c r="S127" s="178">
        <f t="shared" si="7"/>
        <v>13467.820000000002</v>
      </c>
    </row>
    <row r="128" spans="1:19" x14ac:dyDescent="0.2">
      <c r="A128" s="56"/>
      <c r="B128" s="15" t="s">
        <v>137</v>
      </c>
      <c r="C128" s="88">
        <v>0</v>
      </c>
      <c r="D128" s="9"/>
      <c r="E128" s="9"/>
      <c r="F128" s="9"/>
      <c r="G128" s="9"/>
      <c r="H128" s="20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178">
        <f t="shared" si="7"/>
        <v>0</v>
      </c>
    </row>
    <row r="129" spans="1:19" x14ac:dyDescent="0.2">
      <c r="A129" s="56"/>
      <c r="B129" s="15" t="s">
        <v>122</v>
      </c>
      <c r="C129" s="88">
        <v>0</v>
      </c>
      <c r="D129" s="9"/>
      <c r="E129" s="9"/>
      <c r="F129" s="9"/>
      <c r="G129" s="9"/>
      <c r="H129" s="20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178">
        <f t="shared" si="7"/>
        <v>0</v>
      </c>
    </row>
    <row r="130" spans="1:19" ht="22.5" x14ac:dyDescent="0.2">
      <c r="A130" s="56"/>
      <c r="B130" s="15" t="s">
        <v>123</v>
      </c>
      <c r="C130" s="88">
        <v>0</v>
      </c>
      <c r="D130" s="9"/>
      <c r="E130" s="9"/>
      <c r="F130" s="9"/>
      <c r="G130" s="9"/>
      <c r="H130" s="20"/>
      <c r="I130" s="7"/>
      <c r="J130" s="7"/>
      <c r="K130" s="7"/>
      <c r="L130" s="7"/>
      <c r="M130" s="7"/>
      <c r="N130" s="7">
        <v>19547.009999999998</v>
      </c>
      <c r="O130" s="7"/>
      <c r="P130" s="7"/>
      <c r="Q130" s="7"/>
      <c r="R130" s="7"/>
      <c r="S130" s="178">
        <f t="shared" si="7"/>
        <v>19547.009999999998</v>
      </c>
    </row>
    <row r="131" spans="1:19" ht="22.5" x14ac:dyDescent="0.2">
      <c r="A131" s="56"/>
      <c r="B131" s="15" t="s">
        <v>124</v>
      </c>
      <c r="C131" s="88">
        <v>0</v>
      </c>
      <c r="D131" s="9"/>
      <c r="E131" s="9"/>
      <c r="F131" s="9"/>
      <c r="G131" s="9"/>
      <c r="H131" s="20"/>
      <c r="I131" s="7"/>
      <c r="J131" s="7"/>
      <c r="K131" s="7"/>
      <c r="L131" s="7">
        <v>16140</v>
      </c>
      <c r="M131" s="7">
        <v>19057.34</v>
      </c>
      <c r="N131" s="7"/>
      <c r="O131" s="7"/>
      <c r="P131" s="7"/>
      <c r="Q131" s="7"/>
      <c r="R131" s="7"/>
      <c r="S131" s="178">
        <f t="shared" si="7"/>
        <v>35197.339999999997</v>
      </c>
    </row>
    <row r="132" spans="1:19" x14ac:dyDescent="0.2">
      <c r="A132" s="56"/>
      <c r="B132" s="15" t="s">
        <v>125</v>
      </c>
      <c r="C132" s="88">
        <v>0</v>
      </c>
      <c r="D132" s="9"/>
      <c r="E132" s="9"/>
      <c r="F132" s="9"/>
      <c r="G132" s="9"/>
      <c r="H132" s="20">
        <v>207.65</v>
      </c>
      <c r="I132" s="7">
        <v>207.65</v>
      </c>
      <c r="J132" s="7">
        <v>207.65</v>
      </c>
      <c r="K132" s="7">
        <v>207.65</v>
      </c>
      <c r="L132" s="7">
        <v>207.65</v>
      </c>
      <c r="M132" s="7">
        <v>207.65</v>
      </c>
      <c r="N132" s="7">
        <v>207.65</v>
      </c>
      <c r="O132" s="7">
        <v>207.65</v>
      </c>
      <c r="P132" s="7">
        <v>207.65</v>
      </c>
      <c r="Q132" s="7">
        <v>207.65</v>
      </c>
      <c r="R132" s="7">
        <v>207.65</v>
      </c>
      <c r="S132" s="178">
        <f t="shared" si="7"/>
        <v>2284.1500000000005</v>
      </c>
    </row>
    <row r="133" spans="1:19" x14ac:dyDescent="0.2">
      <c r="A133" s="56"/>
      <c r="B133" s="15" t="s">
        <v>126</v>
      </c>
      <c r="C133" s="88">
        <v>0</v>
      </c>
      <c r="D133" s="9"/>
      <c r="E133" s="9"/>
      <c r="F133" s="9"/>
      <c r="G133" s="9">
        <f>+C133+D133-E133+F133</f>
        <v>0</v>
      </c>
      <c r="H133" s="20">
        <f>566.1+792.9+816.3+416.97+740.4</f>
        <v>3332.6700000000005</v>
      </c>
      <c r="I133" s="74">
        <v>740.4</v>
      </c>
      <c r="J133" s="7">
        <v>740.4</v>
      </c>
      <c r="K133" s="7">
        <v>740.4</v>
      </c>
      <c r="L133" s="7">
        <v>740.4</v>
      </c>
      <c r="M133" s="7"/>
      <c r="N133" s="7">
        <f>740.4+90</f>
        <v>830.4</v>
      </c>
      <c r="O133" s="7">
        <v>1480.8</v>
      </c>
      <c r="P133" s="7">
        <v>740.4</v>
      </c>
      <c r="Q133" s="7">
        <f>1295.46+882.24</f>
        <v>2177.6999999999998</v>
      </c>
      <c r="R133" s="7">
        <v>740.4</v>
      </c>
      <c r="S133" s="178">
        <f t="shared" si="7"/>
        <v>12263.97</v>
      </c>
    </row>
    <row r="134" spans="1:19" x14ac:dyDescent="0.2">
      <c r="A134" s="56"/>
      <c r="B134" s="15" t="s">
        <v>134</v>
      </c>
      <c r="C134" s="88">
        <v>0</v>
      </c>
      <c r="D134" s="9"/>
      <c r="E134" s="9"/>
      <c r="F134" s="9"/>
      <c r="G134" s="9">
        <f>+C134+D134-E134+F134</f>
        <v>0</v>
      </c>
      <c r="H134" s="20"/>
      <c r="I134" s="7"/>
      <c r="J134" s="7"/>
      <c r="K134" s="7"/>
      <c r="L134" s="7"/>
      <c r="M134" s="7"/>
      <c r="N134" s="7"/>
      <c r="O134" s="7"/>
      <c r="P134" s="7"/>
      <c r="Q134" s="7"/>
      <c r="R134" s="7">
        <v>75000</v>
      </c>
      <c r="S134" s="178">
        <f t="shared" si="7"/>
        <v>75000</v>
      </c>
    </row>
    <row r="135" spans="1:19" ht="33.75" x14ac:dyDescent="0.2">
      <c r="A135" s="56"/>
      <c r="B135" s="15" t="s">
        <v>128</v>
      </c>
      <c r="C135" s="88"/>
      <c r="D135" s="9"/>
      <c r="E135" s="9"/>
      <c r="F135" s="9"/>
      <c r="G135" s="9"/>
      <c r="H135" s="2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178">
        <f t="shared" si="7"/>
        <v>0</v>
      </c>
    </row>
    <row r="136" spans="1:19" ht="33.75" x14ac:dyDescent="0.2">
      <c r="A136" s="56"/>
      <c r="B136" s="15" t="s">
        <v>127</v>
      </c>
      <c r="C136" s="88"/>
      <c r="D136" s="9"/>
      <c r="E136" s="9"/>
      <c r="F136" s="9"/>
      <c r="G136" s="9"/>
      <c r="H136" s="20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178">
        <f t="shared" si="7"/>
        <v>0</v>
      </c>
    </row>
    <row r="137" spans="1:19" x14ac:dyDescent="0.2">
      <c r="A137" s="56"/>
      <c r="B137" s="15" t="s">
        <v>138</v>
      </c>
      <c r="C137" s="88"/>
      <c r="D137" s="9"/>
      <c r="E137" s="9"/>
      <c r="F137" s="9"/>
      <c r="G137" s="9"/>
      <c r="H137" s="20">
        <v>-1794.72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178">
        <f t="shared" si="7"/>
        <v>-1794.72</v>
      </c>
    </row>
    <row r="138" spans="1:19" ht="12.75" thickBot="1" x14ac:dyDescent="0.25">
      <c r="A138" s="169"/>
      <c r="B138" s="180" t="s">
        <v>74</v>
      </c>
      <c r="C138" s="181">
        <f>SUM(C51:C137)</f>
        <v>3557378.2700000005</v>
      </c>
      <c r="D138" s="182">
        <f>SUM(D51:D137)</f>
        <v>30000</v>
      </c>
      <c r="E138" s="182">
        <f>SUM(E51:E137)</f>
        <v>30000</v>
      </c>
      <c r="F138" s="182">
        <f>SUM(F51:F137)</f>
        <v>683920.96299999987</v>
      </c>
      <c r="G138" s="182">
        <f>SUM(G51:G137)</f>
        <v>4241299.233</v>
      </c>
      <c r="H138" s="182">
        <f t="shared" ref="H138:S138" si="8">SUM(H51:H137)</f>
        <v>218981.96999999997</v>
      </c>
      <c r="I138" s="182">
        <f t="shared" si="8"/>
        <v>190354.84</v>
      </c>
      <c r="J138" s="182">
        <f t="shared" si="8"/>
        <v>365674.25000000006</v>
      </c>
      <c r="K138" s="182">
        <f t="shared" si="8"/>
        <v>260136.67</v>
      </c>
      <c r="L138" s="182">
        <f t="shared" si="8"/>
        <v>281527.37000000005</v>
      </c>
      <c r="M138" s="182">
        <f t="shared" si="8"/>
        <v>442591.93</v>
      </c>
      <c r="N138" s="182">
        <f t="shared" si="8"/>
        <v>324506.88000000012</v>
      </c>
      <c r="O138" s="182">
        <f t="shared" si="8"/>
        <v>318206.78999999998</v>
      </c>
      <c r="P138" s="182">
        <f>SUM(P51:P137)</f>
        <v>277191.08000000007</v>
      </c>
      <c r="Q138" s="182">
        <f>SUM(Q51:Q137)</f>
        <v>447614.79000000004</v>
      </c>
      <c r="R138" s="182">
        <f>SUM(R51:R137)</f>
        <v>146746.22999999998</v>
      </c>
      <c r="S138" s="183">
        <f t="shared" si="8"/>
        <v>3273532.7999999993</v>
      </c>
    </row>
    <row r="139" spans="1:19" ht="23.25" thickBot="1" x14ac:dyDescent="0.25">
      <c r="A139" s="68"/>
      <c r="B139" s="70" t="s">
        <v>141</v>
      </c>
      <c r="C139" s="94"/>
      <c r="D139" s="170"/>
      <c r="E139" s="170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72"/>
    </row>
    <row r="140" spans="1:19" x14ac:dyDescent="0.2">
      <c r="Q140" s="138"/>
      <c r="R140" s="138"/>
    </row>
    <row r="141" spans="1:19" x14ac:dyDescent="0.2">
      <c r="S141" s="138"/>
    </row>
    <row r="142" spans="1:19" x14ac:dyDescent="0.2">
      <c r="S142" s="138"/>
    </row>
  </sheetData>
  <mergeCells count="28">
    <mergeCell ref="B40:S40"/>
    <mergeCell ref="B41:S41"/>
    <mergeCell ref="B42:S42"/>
    <mergeCell ref="B43:S43"/>
    <mergeCell ref="B16:L16"/>
    <mergeCell ref="B36:S36"/>
    <mergeCell ref="B37:S37"/>
    <mergeCell ref="B38:S38"/>
    <mergeCell ref="B39:S39"/>
    <mergeCell ref="B14:H14"/>
    <mergeCell ref="B15:H15"/>
    <mergeCell ref="B13:H13"/>
    <mergeCell ref="B10:H10"/>
    <mergeCell ref="B11:H11"/>
    <mergeCell ref="B12:H12"/>
    <mergeCell ref="B6:S6"/>
    <mergeCell ref="B7:S7"/>
    <mergeCell ref="B8:S8"/>
    <mergeCell ref="B1:S1"/>
    <mergeCell ref="B2:S2"/>
    <mergeCell ref="B3:S3"/>
    <mergeCell ref="B4:S4"/>
    <mergeCell ref="B5:S5"/>
    <mergeCell ref="D49:F49"/>
    <mergeCell ref="D17:F17"/>
    <mergeCell ref="B45:H45"/>
    <mergeCell ref="B46:H46"/>
    <mergeCell ref="B48:H48"/>
  </mergeCells>
  <pageMargins left="1.5748031496062993" right="0.51181102362204722" top="1.5748031496062993" bottom="1.1811023622047245" header="0.31496062992125984" footer="0.31496062992125984"/>
  <pageSetup scale="60" orientation="landscape" horizontalDpi="4294967293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2"/>
  <sheetViews>
    <sheetView tabSelected="1" topLeftCell="A25" workbookViewId="0">
      <selection activeCell="I33" sqref="I33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55" t="s">
        <v>82</v>
      </c>
      <c r="C1" s="155"/>
      <c r="D1" s="155"/>
      <c r="E1" s="155"/>
      <c r="F1" s="155"/>
      <c r="G1" s="155"/>
    </row>
    <row r="2" spans="2:7" x14ac:dyDescent="0.2">
      <c r="B2" s="155" t="s">
        <v>75</v>
      </c>
      <c r="C2" s="155"/>
      <c r="D2" s="155"/>
      <c r="E2" s="155"/>
      <c r="F2" s="155"/>
      <c r="G2" s="155"/>
    </row>
    <row r="3" spans="2:7" x14ac:dyDescent="0.2">
      <c r="B3" s="155" t="s">
        <v>76</v>
      </c>
      <c r="C3" s="155"/>
      <c r="D3" s="155"/>
      <c r="E3" s="155"/>
      <c r="F3" s="155"/>
      <c r="G3" s="155"/>
    </row>
    <row r="4" spans="2:7" x14ac:dyDescent="0.2">
      <c r="B4" s="155" t="s">
        <v>77</v>
      </c>
      <c r="C4" s="155"/>
      <c r="D4" s="155"/>
      <c r="E4" s="155"/>
      <c r="F4" s="155"/>
      <c r="G4" s="155"/>
    </row>
    <row r="5" spans="2:7" x14ac:dyDescent="0.2">
      <c r="B5" s="155" t="s">
        <v>78</v>
      </c>
      <c r="C5" s="155"/>
      <c r="D5" s="155"/>
      <c r="E5" s="155"/>
      <c r="F5" s="155"/>
      <c r="G5" s="155"/>
    </row>
    <row r="6" spans="2:7" x14ac:dyDescent="0.2">
      <c r="B6" s="155" t="s">
        <v>112</v>
      </c>
      <c r="C6" s="155"/>
      <c r="D6" s="155"/>
      <c r="E6" s="155"/>
      <c r="F6" s="155"/>
      <c r="G6" s="155"/>
    </row>
    <row r="7" spans="2:7" x14ac:dyDescent="0.2">
      <c r="B7" s="155" t="s">
        <v>153</v>
      </c>
      <c r="C7" s="155"/>
      <c r="D7" s="155"/>
      <c r="E7" s="155"/>
      <c r="F7" s="155"/>
      <c r="G7" s="155"/>
    </row>
    <row r="8" spans="2:7" x14ac:dyDescent="0.2">
      <c r="B8" s="155" t="s">
        <v>156</v>
      </c>
      <c r="C8" s="155"/>
      <c r="D8" s="155"/>
      <c r="E8" s="155"/>
      <c r="F8" s="155"/>
      <c r="G8" s="155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55" t="s">
        <v>79</v>
      </c>
      <c r="C10" s="155"/>
      <c r="D10" s="155"/>
      <c r="E10" s="155"/>
      <c r="F10" s="155"/>
      <c r="G10" s="155"/>
    </row>
    <row r="11" spans="2:7" x14ac:dyDescent="0.2">
      <c r="B11" s="155" t="s">
        <v>80</v>
      </c>
      <c r="C11" s="155"/>
      <c r="D11" s="155"/>
      <c r="E11" s="155"/>
      <c r="F11" s="155"/>
      <c r="G11" s="155"/>
    </row>
    <row r="12" spans="2:7" x14ac:dyDescent="0.2">
      <c r="B12" s="155" t="s">
        <v>81</v>
      </c>
      <c r="C12" s="155"/>
      <c r="D12" s="155"/>
      <c r="E12" s="155"/>
      <c r="F12" s="155"/>
      <c r="G12" s="155"/>
    </row>
    <row r="13" spans="2:7" ht="20.25" customHeight="1" x14ac:dyDescent="0.2">
      <c r="B13" s="155"/>
      <c r="C13" s="155"/>
      <c r="D13" s="155"/>
      <c r="E13" s="155"/>
      <c r="F13" s="155"/>
      <c r="G13" s="155"/>
    </row>
    <row r="14" spans="2:7" x14ac:dyDescent="0.2">
      <c r="B14" s="155" t="s">
        <v>111</v>
      </c>
      <c r="C14" s="155"/>
      <c r="D14" s="155"/>
      <c r="E14" s="155"/>
      <c r="F14" s="155"/>
      <c r="G14" s="155"/>
    </row>
    <row r="15" spans="2:7" ht="13.5" customHeight="1" thickBot="1" x14ac:dyDescent="0.25">
      <c r="B15" s="156" t="s">
        <v>0</v>
      </c>
      <c r="C15" s="156"/>
      <c r="D15" s="156"/>
      <c r="E15" s="156"/>
      <c r="F15" s="156"/>
      <c r="G15" s="156"/>
    </row>
    <row r="16" spans="2:7" ht="13.5" customHeight="1" thickBot="1" x14ac:dyDescent="0.25">
      <c r="B16" s="19"/>
      <c r="C16" s="19"/>
      <c r="D16" s="19"/>
      <c r="E16" s="19"/>
      <c r="F16" s="19"/>
      <c r="G16" s="19"/>
    </row>
    <row r="17" spans="2:7" ht="27.75" thickBot="1" x14ac:dyDescent="0.25">
      <c r="B17" s="25" t="s">
        <v>2</v>
      </c>
      <c r="C17" s="26" t="s">
        <v>113</v>
      </c>
      <c r="D17" s="27" t="s">
        <v>3</v>
      </c>
      <c r="E17" s="28" t="s">
        <v>4</v>
      </c>
      <c r="F17" s="107" t="s">
        <v>114</v>
      </c>
      <c r="G17" s="104" t="s">
        <v>5</v>
      </c>
    </row>
    <row r="18" spans="2:7" ht="12.75" x14ac:dyDescent="0.2">
      <c r="B18" s="30" t="s">
        <v>7</v>
      </c>
      <c r="C18" s="78">
        <v>29938.7</v>
      </c>
      <c r="D18" s="32"/>
      <c r="E18" s="33"/>
      <c r="F18" s="34">
        <f>+C18</f>
        <v>29938.7</v>
      </c>
      <c r="G18" s="110"/>
    </row>
    <row r="19" spans="2:7" ht="12.75" x14ac:dyDescent="0.2">
      <c r="B19" s="22" t="s">
        <v>8</v>
      </c>
      <c r="C19" s="78">
        <f>234965.58*12</f>
        <v>2819586.96</v>
      </c>
      <c r="D19" s="31"/>
      <c r="E19" s="35"/>
      <c r="F19" s="108">
        <v>653811.94999999995</v>
      </c>
      <c r="G19" s="110">
        <f t="shared" ref="G19:G29" si="0">+C19+D19-E19+F19</f>
        <v>3473398.91</v>
      </c>
    </row>
    <row r="20" spans="2:7" ht="38.25" x14ac:dyDescent="0.2">
      <c r="B20" s="22" t="s">
        <v>133</v>
      </c>
      <c r="C20" s="79"/>
      <c r="D20" s="31"/>
      <c r="E20" s="35"/>
      <c r="F20" s="108">
        <v>8500</v>
      </c>
      <c r="G20" s="110">
        <f t="shared" si="0"/>
        <v>8500</v>
      </c>
    </row>
    <row r="21" spans="2:7" ht="25.5" x14ac:dyDescent="0.2">
      <c r="B21" s="22" t="s">
        <v>130</v>
      </c>
      <c r="C21" s="79">
        <v>41640.29</v>
      </c>
      <c r="D21" s="31"/>
      <c r="E21" s="35"/>
      <c r="F21" s="108">
        <v>51547.71</v>
      </c>
      <c r="G21" s="110">
        <f t="shared" si="0"/>
        <v>93188</v>
      </c>
    </row>
    <row r="22" spans="2:7" ht="25.5" x14ac:dyDescent="0.2">
      <c r="B22" s="22" t="s">
        <v>9</v>
      </c>
      <c r="C22" s="80"/>
      <c r="D22" s="36"/>
      <c r="E22" s="33"/>
      <c r="F22" s="34"/>
      <c r="G22" s="110">
        <f t="shared" si="0"/>
        <v>0</v>
      </c>
    </row>
    <row r="23" spans="2:7" ht="12.75" x14ac:dyDescent="0.2">
      <c r="B23" s="22" t="s">
        <v>140</v>
      </c>
      <c r="C23" s="80">
        <v>28811.35</v>
      </c>
      <c r="D23" s="36"/>
      <c r="E23" s="33"/>
      <c r="F23" s="34"/>
      <c r="G23" s="110">
        <f t="shared" si="0"/>
        <v>28811.35</v>
      </c>
    </row>
    <row r="24" spans="2:7" ht="12.75" x14ac:dyDescent="0.2">
      <c r="B24" s="22" t="s">
        <v>10</v>
      </c>
      <c r="C24" s="80">
        <v>621900.97</v>
      </c>
      <c r="D24" s="36"/>
      <c r="E24" s="33"/>
      <c r="F24" s="34"/>
      <c r="G24" s="110">
        <f t="shared" si="0"/>
        <v>621900.97</v>
      </c>
    </row>
    <row r="25" spans="2:7" ht="12.75" x14ac:dyDescent="0.2">
      <c r="B25" s="22" t="s">
        <v>134</v>
      </c>
      <c r="C25" s="81"/>
      <c r="D25" s="36"/>
      <c r="E25" s="33"/>
      <c r="F25" s="34"/>
      <c r="G25" s="110">
        <f t="shared" si="0"/>
        <v>0</v>
      </c>
    </row>
    <row r="26" spans="2:7" ht="25.5" x14ac:dyDescent="0.2">
      <c r="B26" s="22" t="s">
        <v>11</v>
      </c>
      <c r="C26" s="78">
        <v>15500</v>
      </c>
      <c r="D26" s="31"/>
      <c r="E26" s="35"/>
      <c r="F26" s="108"/>
      <c r="G26" s="110">
        <f t="shared" si="0"/>
        <v>15500</v>
      </c>
    </row>
    <row r="27" spans="2:7" ht="12.75" x14ac:dyDescent="0.2">
      <c r="B27" s="22" t="s">
        <v>12</v>
      </c>
      <c r="C27" s="78"/>
      <c r="D27" s="31"/>
      <c r="E27" s="35"/>
      <c r="F27" s="108"/>
      <c r="G27" s="110">
        <f t="shared" si="0"/>
        <v>0</v>
      </c>
    </row>
    <row r="28" spans="2:7" ht="25.5" x14ac:dyDescent="0.2">
      <c r="B28" s="22" t="s">
        <v>115</v>
      </c>
      <c r="C28" s="80"/>
      <c r="D28" s="37"/>
      <c r="E28" s="38"/>
      <c r="F28" s="109"/>
      <c r="G28" s="110">
        <f t="shared" si="0"/>
        <v>0</v>
      </c>
    </row>
    <row r="29" spans="2:7" ht="25.5" x14ac:dyDescent="0.2">
      <c r="B29" s="22" t="s">
        <v>13</v>
      </c>
      <c r="C29" s="80"/>
      <c r="D29" s="36"/>
      <c r="E29" s="33"/>
      <c r="F29" s="34"/>
      <c r="G29" s="110">
        <f t="shared" si="0"/>
        <v>0</v>
      </c>
    </row>
    <row r="30" spans="2:7" ht="12.75" x14ac:dyDescent="0.2">
      <c r="B30" s="39" t="s">
        <v>131</v>
      </c>
      <c r="C30" s="82"/>
      <c r="D30" s="36"/>
      <c r="E30" s="33"/>
      <c r="F30" s="34"/>
      <c r="G30" s="110"/>
    </row>
    <row r="31" spans="2:7" ht="13.5" thickBot="1" x14ac:dyDescent="0.25">
      <c r="B31" s="39" t="s">
        <v>116</v>
      </c>
      <c r="C31" s="82"/>
      <c r="D31" s="111"/>
      <c r="E31" s="112"/>
      <c r="F31" s="113"/>
      <c r="G31" s="114">
        <f>C31+D31+E31-+F31</f>
        <v>0</v>
      </c>
    </row>
    <row r="32" spans="2:7" ht="13.5" thickBot="1" x14ac:dyDescent="0.25">
      <c r="B32" s="115" t="s">
        <v>14</v>
      </c>
      <c r="C32" s="116">
        <f t="shared" ref="C32:F32" si="1">SUM(C18:C31)</f>
        <v>3557378.2700000005</v>
      </c>
      <c r="D32" s="117">
        <f t="shared" si="1"/>
        <v>0</v>
      </c>
      <c r="E32" s="117">
        <f t="shared" si="1"/>
        <v>0</v>
      </c>
      <c r="F32" s="118">
        <f t="shared" si="1"/>
        <v>743798.35999999987</v>
      </c>
      <c r="G32" s="119">
        <f t="shared" ref="G32" si="2">SUM(G18:G31)</f>
        <v>4241299.2300000004</v>
      </c>
    </row>
    <row r="33" spans="2:7" ht="12.75" x14ac:dyDescent="0.2">
      <c r="B33" s="23"/>
      <c r="C33" s="62"/>
      <c r="D33" s="62"/>
      <c r="E33" s="62"/>
      <c r="F33" s="62"/>
      <c r="G33" s="62"/>
    </row>
    <row r="34" spans="2:7" ht="12.75" x14ac:dyDescent="0.2">
      <c r="B34" s="23"/>
      <c r="C34" s="62"/>
      <c r="D34" s="62"/>
      <c r="E34" s="62"/>
      <c r="F34" s="62"/>
      <c r="G34" s="62"/>
    </row>
    <row r="35" spans="2:7" x14ac:dyDescent="0.2">
      <c r="B35" s="155" t="s">
        <v>82</v>
      </c>
      <c r="C35" s="155"/>
      <c r="D35" s="155"/>
      <c r="E35" s="155"/>
      <c r="F35" s="155"/>
      <c r="G35" s="155"/>
    </row>
    <row r="36" spans="2:7" x14ac:dyDescent="0.2">
      <c r="B36" s="155" t="s">
        <v>75</v>
      </c>
      <c r="C36" s="155"/>
      <c r="D36" s="155"/>
      <c r="E36" s="155"/>
      <c r="F36" s="155"/>
      <c r="G36" s="155"/>
    </row>
    <row r="37" spans="2:7" x14ac:dyDescent="0.2">
      <c r="B37" s="155" t="s">
        <v>76</v>
      </c>
      <c r="C37" s="155"/>
      <c r="D37" s="155"/>
      <c r="E37" s="155"/>
      <c r="F37" s="155"/>
      <c r="G37" s="155"/>
    </row>
    <row r="38" spans="2:7" x14ac:dyDescent="0.2">
      <c r="B38" s="155" t="s">
        <v>77</v>
      </c>
      <c r="C38" s="155"/>
      <c r="D38" s="155"/>
      <c r="E38" s="155"/>
      <c r="F38" s="155"/>
      <c r="G38" s="155"/>
    </row>
    <row r="39" spans="2:7" x14ac:dyDescent="0.2">
      <c r="B39" s="155" t="s">
        <v>78</v>
      </c>
      <c r="C39" s="155"/>
      <c r="D39" s="155"/>
      <c r="E39" s="155"/>
      <c r="F39" s="155"/>
      <c r="G39" s="155"/>
    </row>
    <row r="40" spans="2:7" x14ac:dyDescent="0.2">
      <c r="B40" s="155" t="s">
        <v>112</v>
      </c>
      <c r="C40" s="155"/>
      <c r="D40" s="155"/>
      <c r="E40" s="155"/>
      <c r="F40" s="155"/>
      <c r="G40" s="155"/>
    </row>
    <row r="41" spans="2:7" x14ac:dyDescent="0.2">
      <c r="B41" s="155" t="s">
        <v>153</v>
      </c>
      <c r="C41" s="155"/>
      <c r="D41" s="155"/>
      <c r="E41" s="155"/>
      <c r="F41" s="155"/>
      <c r="G41" s="155"/>
    </row>
    <row r="42" spans="2:7" x14ac:dyDescent="0.2">
      <c r="B42" s="155" t="s">
        <v>158</v>
      </c>
      <c r="C42" s="155"/>
      <c r="D42" s="155"/>
      <c r="E42" s="155"/>
      <c r="F42" s="155"/>
      <c r="G42" s="155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55" t="s">
        <v>79</v>
      </c>
      <c r="C44" s="155"/>
      <c r="D44" s="155"/>
      <c r="E44" s="155"/>
      <c r="F44" s="155"/>
      <c r="G44" s="155"/>
    </row>
    <row r="45" spans="2:7" x14ac:dyDescent="0.2">
      <c r="B45" s="155" t="s">
        <v>80</v>
      </c>
      <c r="C45" s="155"/>
      <c r="D45" s="155"/>
      <c r="E45" s="155"/>
      <c r="F45" s="155"/>
      <c r="G45" s="155"/>
    </row>
    <row r="46" spans="2:7" x14ac:dyDescent="0.2">
      <c r="B46" s="17"/>
      <c r="C46" s="17"/>
      <c r="D46" s="17"/>
      <c r="E46" s="17"/>
      <c r="F46" s="17"/>
      <c r="G46" s="17"/>
    </row>
    <row r="47" spans="2:7" x14ac:dyDescent="0.2">
      <c r="B47" s="155" t="s">
        <v>81</v>
      </c>
      <c r="C47" s="155"/>
      <c r="D47" s="155"/>
      <c r="E47" s="155"/>
      <c r="F47" s="155"/>
      <c r="G47" s="155"/>
    </row>
    <row r="48" spans="2:7" x14ac:dyDescent="0.2">
      <c r="B48" s="155"/>
      <c r="C48" s="155"/>
      <c r="D48" s="155"/>
      <c r="E48" s="155"/>
      <c r="F48" s="155"/>
      <c r="G48" s="155"/>
    </row>
    <row r="49" spans="1:7" x14ac:dyDescent="0.2">
      <c r="B49" s="157" t="s">
        <v>111</v>
      </c>
      <c r="C49" s="157"/>
      <c r="D49" s="157"/>
      <c r="E49" s="157"/>
      <c r="F49" s="157"/>
      <c r="G49" s="157"/>
    </row>
    <row r="50" spans="1:7" x14ac:dyDescent="0.2">
      <c r="B50" s="1"/>
      <c r="C50" s="5"/>
      <c r="D50" s="18"/>
      <c r="E50" s="18"/>
      <c r="F50" s="18"/>
      <c r="G50" s="18"/>
    </row>
    <row r="51" spans="1:7" ht="12.75" thickBot="1" x14ac:dyDescent="0.25">
      <c r="B51" s="158" t="s">
        <v>81</v>
      </c>
      <c r="C51" s="158"/>
      <c r="D51" s="158"/>
      <c r="E51" s="158"/>
      <c r="F51" s="158"/>
      <c r="G51" s="18"/>
    </row>
    <row r="52" spans="1:7" ht="12.75" thickBot="1" x14ac:dyDescent="0.25">
      <c r="B52" s="159" t="s">
        <v>15</v>
      </c>
      <c r="C52" s="160"/>
      <c r="D52" s="161" t="s">
        <v>1</v>
      </c>
      <c r="E52" s="162"/>
      <c r="F52" s="163"/>
      <c r="G52" s="18"/>
    </row>
    <row r="53" spans="1:7" ht="27.75" thickBot="1" x14ac:dyDescent="0.25">
      <c r="A53" s="41"/>
      <c r="B53" s="42" t="s">
        <v>2</v>
      </c>
      <c r="C53" s="85" t="s">
        <v>113</v>
      </c>
      <c r="D53" s="43" t="s">
        <v>3</v>
      </c>
      <c r="E53" s="44" t="s">
        <v>4</v>
      </c>
      <c r="F53" s="45" t="s">
        <v>114</v>
      </c>
      <c r="G53" s="46" t="s">
        <v>5</v>
      </c>
    </row>
    <row r="54" spans="1:7" x14ac:dyDescent="0.2">
      <c r="A54" s="47">
        <v>0</v>
      </c>
      <c r="B54" s="48" t="s">
        <v>16</v>
      </c>
      <c r="C54" s="86"/>
      <c r="D54" s="8"/>
      <c r="E54" s="8"/>
      <c r="F54" s="8"/>
      <c r="G54" s="9"/>
    </row>
    <row r="55" spans="1:7" x14ac:dyDescent="0.2">
      <c r="A55" s="49">
        <v>11</v>
      </c>
      <c r="B55" s="15" t="s">
        <v>17</v>
      </c>
      <c r="C55" s="87">
        <v>188400</v>
      </c>
      <c r="D55" s="9"/>
      <c r="E55" s="9"/>
      <c r="F55" s="9">
        <v>6</v>
      </c>
      <c r="G55" s="9">
        <f t="shared" ref="G55:G91" si="3">+C55+D55-E55+F55</f>
        <v>188406</v>
      </c>
    </row>
    <row r="56" spans="1:7" ht="22.5" x14ac:dyDescent="0.2">
      <c r="A56" s="49">
        <v>15</v>
      </c>
      <c r="B56" s="15" t="s">
        <v>18</v>
      </c>
      <c r="C56" s="87">
        <v>6000</v>
      </c>
      <c r="D56" s="9"/>
      <c r="E56" s="9"/>
      <c r="F56" s="9"/>
      <c r="G56" s="9">
        <f t="shared" si="3"/>
        <v>6000</v>
      </c>
    </row>
    <row r="57" spans="1:7" x14ac:dyDescent="0.2">
      <c r="A57" s="49">
        <v>22</v>
      </c>
      <c r="B57" s="15" t="s">
        <v>19</v>
      </c>
      <c r="C57" s="87">
        <v>117360</v>
      </c>
      <c r="D57" s="9"/>
      <c r="E57" s="9"/>
      <c r="F57" s="9">
        <v>29250</v>
      </c>
      <c r="G57" s="9">
        <f t="shared" si="3"/>
        <v>146610</v>
      </c>
    </row>
    <row r="58" spans="1:7" ht="22.5" x14ac:dyDescent="0.2">
      <c r="A58" s="49">
        <v>27</v>
      </c>
      <c r="B58" s="15" t="s">
        <v>20</v>
      </c>
      <c r="C58" s="87">
        <v>6000</v>
      </c>
      <c r="D58" s="9"/>
      <c r="E58" s="9"/>
      <c r="F58" s="9">
        <v>3000</v>
      </c>
      <c r="G58" s="9">
        <f t="shared" si="3"/>
        <v>9000</v>
      </c>
    </row>
    <row r="59" spans="1:7" x14ac:dyDescent="0.2">
      <c r="A59" s="49">
        <v>51</v>
      </c>
      <c r="B59" s="15" t="s">
        <v>21</v>
      </c>
      <c r="C59" s="87">
        <v>32624.59</v>
      </c>
      <c r="D59" s="9"/>
      <c r="E59" s="9"/>
      <c r="F59" s="9">
        <v>3121.62</v>
      </c>
      <c r="G59" s="9">
        <f t="shared" si="3"/>
        <v>35746.21</v>
      </c>
    </row>
    <row r="60" spans="1:7" x14ac:dyDescent="0.2">
      <c r="A60" s="49">
        <v>61</v>
      </c>
      <c r="B60" s="15" t="s">
        <v>22</v>
      </c>
      <c r="C60" s="87">
        <f>284160+12000</f>
        <v>296160</v>
      </c>
      <c r="D60" s="9"/>
      <c r="E60" s="9"/>
      <c r="F60" s="9"/>
      <c r="G60" s="9">
        <f t="shared" si="3"/>
        <v>296160</v>
      </c>
    </row>
    <row r="61" spans="1:7" ht="22.5" x14ac:dyDescent="0.2">
      <c r="A61" s="49">
        <v>63</v>
      </c>
      <c r="B61" s="15" t="s">
        <v>23</v>
      </c>
      <c r="C61" s="87">
        <v>108000</v>
      </c>
      <c r="D61" s="9"/>
      <c r="E61" s="9"/>
      <c r="F61" s="9"/>
      <c r="G61" s="9">
        <f t="shared" si="3"/>
        <v>108000</v>
      </c>
    </row>
    <row r="62" spans="1:7" x14ac:dyDescent="0.2">
      <c r="A62" s="49" t="s">
        <v>85</v>
      </c>
      <c r="B62" s="15" t="s">
        <v>24</v>
      </c>
      <c r="C62" s="87">
        <v>25480</v>
      </c>
      <c r="D62" s="9"/>
      <c r="E62" s="9"/>
      <c r="F62" s="9">
        <v>4670.5</v>
      </c>
      <c r="G62" s="9">
        <f t="shared" si="3"/>
        <v>30150.5</v>
      </c>
    </row>
    <row r="63" spans="1:7" ht="22.5" x14ac:dyDescent="0.2">
      <c r="A63" s="49">
        <v>72</v>
      </c>
      <c r="B63" s="15" t="s">
        <v>25</v>
      </c>
      <c r="C63" s="87">
        <v>25480</v>
      </c>
      <c r="D63" s="9"/>
      <c r="E63" s="9"/>
      <c r="F63" s="9">
        <v>4670.5</v>
      </c>
      <c r="G63" s="9">
        <f t="shared" si="3"/>
        <v>30150.5</v>
      </c>
    </row>
    <row r="64" spans="1:7" x14ac:dyDescent="0.2">
      <c r="A64" s="50" t="s">
        <v>86</v>
      </c>
      <c r="B64" s="15" t="s">
        <v>26</v>
      </c>
      <c r="C64" s="87">
        <v>20000</v>
      </c>
      <c r="D64" s="9"/>
      <c r="E64" s="9"/>
      <c r="F64" s="9">
        <v>15000</v>
      </c>
      <c r="G64" s="9">
        <f t="shared" si="3"/>
        <v>35000</v>
      </c>
    </row>
    <row r="65" spans="1:7" x14ac:dyDescent="0.2">
      <c r="A65" s="49" t="s">
        <v>87</v>
      </c>
      <c r="B65" s="15" t="s">
        <v>27</v>
      </c>
      <c r="C65" s="88"/>
      <c r="D65" s="9"/>
      <c r="E65" s="9"/>
      <c r="F65" s="9"/>
      <c r="G65" s="9">
        <f t="shared" si="3"/>
        <v>0</v>
      </c>
    </row>
    <row r="66" spans="1:7" s="3" customFormat="1" x14ac:dyDescent="0.2">
      <c r="A66" s="49">
        <v>111</v>
      </c>
      <c r="B66" s="15" t="s">
        <v>28</v>
      </c>
      <c r="C66" s="88">
        <v>3500</v>
      </c>
      <c r="D66" s="9"/>
      <c r="E66" s="9"/>
      <c r="F66" s="9">
        <v>300</v>
      </c>
      <c r="G66" s="9">
        <f t="shared" si="3"/>
        <v>3800</v>
      </c>
    </row>
    <row r="67" spans="1:7" s="3" customFormat="1" x14ac:dyDescent="0.2">
      <c r="A67" s="49">
        <v>112</v>
      </c>
      <c r="B67" s="15" t="s">
        <v>29</v>
      </c>
      <c r="C67" s="88">
        <v>5000</v>
      </c>
      <c r="D67" s="9"/>
      <c r="E67" s="9"/>
      <c r="F67" s="9"/>
      <c r="G67" s="9">
        <f t="shared" si="3"/>
        <v>5000</v>
      </c>
    </row>
    <row r="68" spans="1:7" s="3" customFormat="1" x14ac:dyDescent="0.2">
      <c r="A68" s="49">
        <v>113</v>
      </c>
      <c r="B68" s="15" t="s">
        <v>30</v>
      </c>
      <c r="C68" s="88">
        <v>10000</v>
      </c>
      <c r="D68" s="9"/>
      <c r="E68" s="9"/>
      <c r="F68" s="9">
        <v>5000</v>
      </c>
      <c r="G68" s="9">
        <f t="shared" si="3"/>
        <v>15000</v>
      </c>
    </row>
    <row r="69" spans="1:7" s="3" customFormat="1" x14ac:dyDescent="0.2">
      <c r="A69" s="49">
        <v>114</v>
      </c>
      <c r="B69" s="15" t="s">
        <v>31</v>
      </c>
      <c r="C69" s="88">
        <v>250</v>
      </c>
      <c r="D69" s="9"/>
      <c r="E69" s="9"/>
      <c r="F69" s="9">
        <v>750</v>
      </c>
      <c r="G69" s="9">
        <f t="shared" si="3"/>
        <v>1000</v>
      </c>
    </row>
    <row r="70" spans="1:7" s="3" customFormat="1" ht="22.5" x14ac:dyDescent="0.2">
      <c r="A70" s="49">
        <v>115</v>
      </c>
      <c r="B70" s="15" t="s">
        <v>32</v>
      </c>
      <c r="C70" s="88">
        <v>1000</v>
      </c>
      <c r="D70" s="9"/>
      <c r="E70" s="9"/>
      <c r="F70" s="9">
        <v>-400</v>
      </c>
      <c r="G70" s="9">
        <f t="shared" si="3"/>
        <v>600</v>
      </c>
    </row>
    <row r="71" spans="1:7" s="3" customFormat="1" x14ac:dyDescent="0.2">
      <c r="A71" s="49">
        <v>121</v>
      </c>
      <c r="B71" s="15" t="s">
        <v>33</v>
      </c>
      <c r="C71" s="88">
        <v>700</v>
      </c>
      <c r="D71" s="9"/>
      <c r="E71" s="9"/>
      <c r="F71" s="9">
        <v>5300</v>
      </c>
      <c r="G71" s="9">
        <f t="shared" si="3"/>
        <v>6000</v>
      </c>
    </row>
    <row r="72" spans="1:7" s="3" customFormat="1" x14ac:dyDescent="0.2">
      <c r="A72" s="49">
        <v>122</v>
      </c>
      <c r="B72" s="15" t="s">
        <v>129</v>
      </c>
      <c r="C72" s="88">
        <v>9500</v>
      </c>
      <c r="D72" s="9"/>
      <c r="E72" s="9"/>
      <c r="F72" s="9">
        <v>-2000</v>
      </c>
      <c r="G72" s="9">
        <f t="shared" si="3"/>
        <v>7500</v>
      </c>
    </row>
    <row r="73" spans="1:7" s="3" customFormat="1" x14ac:dyDescent="0.2">
      <c r="A73" s="49">
        <v>131</v>
      </c>
      <c r="B73" s="15" t="s">
        <v>34</v>
      </c>
      <c r="C73" s="88">
        <v>465000</v>
      </c>
      <c r="D73" s="9"/>
      <c r="E73" s="9"/>
      <c r="F73" s="9">
        <v>-65040</v>
      </c>
      <c r="G73" s="9">
        <f t="shared" si="3"/>
        <v>399960</v>
      </c>
    </row>
    <row r="74" spans="1:7" s="3" customFormat="1" x14ac:dyDescent="0.2">
      <c r="A74" s="49" t="s">
        <v>88</v>
      </c>
      <c r="B74" s="15" t="s">
        <v>35</v>
      </c>
      <c r="C74" s="88">
        <v>160000</v>
      </c>
      <c r="D74" s="9"/>
      <c r="E74" s="9"/>
      <c r="F74" s="9">
        <v>-55209</v>
      </c>
      <c r="G74" s="9">
        <f t="shared" si="3"/>
        <v>104791</v>
      </c>
    </row>
    <row r="75" spans="1:7" s="3" customFormat="1" x14ac:dyDescent="0.2">
      <c r="A75" s="49" t="s">
        <v>89</v>
      </c>
      <c r="B75" s="15" t="s">
        <v>36</v>
      </c>
      <c r="C75" s="88">
        <v>30000</v>
      </c>
      <c r="D75" s="9"/>
      <c r="E75" s="9"/>
      <c r="F75" s="9">
        <v>30500</v>
      </c>
      <c r="G75" s="9">
        <f t="shared" si="3"/>
        <v>60500</v>
      </c>
    </row>
    <row r="76" spans="1:7" s="3" customFormat="1" ht="22.5" x14ac:dyDescent="0.2">
      <c r="A76" s="49">
        <v>151</v>
      </c>
      <c r="B76" s="15" t="s">
        <v>37</v>
      </c>
      <c r="C76" s="88">
        <v>103725</v>
      </c>
      <c r="D76" s="9"/>
      <c r="E76" s="9"/>
      <c r="F76" s="9">
        <v>5175</v>
      </c>
      <c r="G76" s="9">
        <f t="shared" si="3"/>
        <v>108900</v>
      </c>
    </row>
    <row r="77" spans="1:7" s="3" customFormat="1" ht="22.5" x14ac:dyDescent="0.2">
      <c r="A77" s="49">
        <v>152</v>
      </c>
      <c r="B77" s="15" t="s">
        <v>38</v>
      </c>
      <c r="C77" s="88">
        <v>2500</v>
      </c>
      <c r="D77" s="9"/>
      <c r="E77" s="9"/>
      <c r="F77" s="9"/>
      <c r="G77" s="9">
        <f t="shared" si="3"/>
        <v>2500</v>
      </c>
    </row>
    <row r="78" spans="1:7" s="3" customFormat="1" ht="22.5" x14ac:dyDescent="0.2">
      <c r="A78" s="49">
        <v>153</v>
      </c>
      <c r="B78" s="15" t="s">
        <v>39</v>
      </c>
      <c r="C78" s="88">
        <v>8500</v>
      </c>
      <c r="D78" s="9"/>
      <c r="E78" s="9"/>
      <c r="F78" s="9"/>
      <c r="G78" s="9">
        <f t="shared" si="3"/>
        <v>8500</v>
      </c>
    </row>
    <row r="79" spans="1:7" s="3" customFormat="1" ht="22.5" x14ac:dyDescent="0.2">
      <c r="A79" s="49">
        <v>155</v>
      </c>
      <c r="B79" s="15" t="s">
        <v>40</v>
      </c>
      <c r="C79" s="88">
        <v>56640.29</v>
      </c>
      <c r="D79" s="88"/>
      <c r="E79" s="88"/>
      <c r="F79" s="88">
        <v>21139.71</v>
      </c>
      <c r="G79" s="9">
        <f t="shared" si="3"/>
        <v>77780</v>
      </c>
    </row>
    <row r="80" spans="1:7" s="3" customFormat="1" ht="22.5" x14ac:dyDescent="0.2">
      <c r="A80" s="49">
        <v>161</v>
      </c>
      <c r="B80" s="15" t="s">
        <v>90</v>
      </c>
      <c r="C80" s="88">
        <v>2500</v>
      </c>
      <c r="D80" s="9"/>
      <c r="E80" s="9"/>
      <c r="F80" s="9">
        <v>2500</v>
      </c>
      <c r="G80" s="9">
        <f t="shared" si="3"/>
        <v>5000</v>
      </c>
    </row>
    <row r="81" spans="1:7" s="3" customFormat="1" ht="22.5" x14ac:dyDescent="0.2">
      <c r="A81" s="49">
        <v>164</v>
      </c>
      <c r="B81" s="15" t="s">
        <v>41</v>
      </c>
      <c r="C81" s="88">
        <v>35000</v>
      </c>
      <c r="D81" s="9"/>
      <c r="E81" s="9">
        <v>10000</v>
      </c>
      <c r="F81" s="9">
        <v>25000</v>
      </c>
      <c r="G81" s="9">
        <f t="shared" si="3"/>
        <v>50000</v>
      </c>
    </row>
    <row r="82" spans="1:7" s="3" customFormat="1" ht="22.5" x14ac:dyDescent="0.2">
      <c r="A82" s="49" t="s">
        <v>91</v>
      </c>
      <c r="B82" s="15" t="s">
        <v>42</v>
      </c>
      <c r="C82" s="88">
        <v>1500</v>
      </c>
      <c r="D82" s="9"/>
      <c r="E82" s="9"/>
      <c r="F82" s="9"/>
      <c r="G82" s="9">
        <f t="shared" si="3"/>
        <v>1500</v>
      </c>
    </row>
    <row r="83" spans="1:7" s="3" customFormat="1" ht="22.5" x14ac:dyDescent="0.2">
      <c r="A83" s="49">
        <v>169</v>
      </c>
      <c r="B83" s="15" t="s">
        <v>92</v>
      </c>
      <c r="C83" s="88">
        <v>5000</v>
      </c>
      <c r="D83" s="9"/>
      <c r="E83" s="9"/>
      <c r="F83" s="9">
        <v>500</v>
      </c>
      <c r="G83" s="9">
        <f t="shared" si="3"/>
        <v>5500</v>
      </c>
    </row>
    <row r="84" spans="1:7" s="3" customFormat="1" ht="22.5" x14ac:dyDescent="0.2">
      <c r="A84" s="49">
        <v>182</v>
      </c>
      <c r="B84" s="15" t="s">
        <v>93</v>
      </c>
      <c r="C84" s="88">
        <v>15000</v>
      </c>
      <c r="D84" s="9"/>
      <c r="E84" s="9"/>
      <c r="F84" s="9"/>
      <c r="G84" s="9">
        <f t="shared" si="3"/>
        <v>15000</v>
      </c>
    </row>
    <row r="85" spans="1:7" s="3" customFormat="1" x14ac:dyDescent="0.2">
      <c r="A85" s="49">
        <v>183</v>
      </c>
      <c r="B85" s="15" t="s">
        <v>43</v>
      </c>
      <c r="C85" s="88">
        <v>5000</v>
      </c>
      <c r="D85" s="9"/>
      <c r="E85" s="9"/>
      <c r="F85" s="9">
        <v>20000</v>
      </c>
      <c r="G85" s="9">
        <f t="shared" si="3"/>
        <v>25000</v>
      </c>
    </row>
    <row r="86" spans="1:7" s="3" customFormat="1" x14ac:dyDescent="0.2">
      <c r="A86" s="49">
        <v>185</v>
      </c>
      <c r="B86" s="15" t="s">
        <v>44</v>
      </c>
      <c r="C86" s="88">
        <v>15000</v>
      </c>
      <c r="D86" s="9"/>
      <c r="E86" s="9"/>
      <c r="F86" s="9">
        <v>-10000</v>
      </c>
      <c r="G86" s="9">
        <f t="shared" si="3"/>
        <v>5000</v>
      </c>
    </row>
    <row r="87" spans="1:7" s="3" customFormat="1" ht="22.5" x14ac:dyDescent="0.2">
      <c r="A87" s="49">
        <v>186</v>
      </c>
      <c r="B87" s="15" t="s">
        <v>45</v>
      </c>
      <c r="C87" s="88">
        <v>5500</v>
      </c>
      <c r="D87" s="9"/>
      <c r="E87" s="9"/>
      <c r="F87" s="9"/>
      <c r="G87" s="9">
        <f t="shared" si="3"/>
        <v>5500</v>
      </c>
    </row>
    <row r="88" spans="1:7" s="3" customFormat="1" ht="22.5" x14ac:dyDescent="0.2">
      <c r="A88" s="49">
        <v>189</v>
      </c>
      <c r="B88" s="15" t="s">
        <v>46</v>
      </c>
      <c r="C88" s="88">
        <v>833200.17</v>
      </c>
      <c r="D88" s="9"/>
      <c r="E88" s="9"/>
      <c r="F88" s="9">
        <v>182253.8</v>
      </c>
      <c r="G88" s="9">
        <f t="shared" si="3"/>
        <v>1015453.97</v>
      </c>
    </row>
    <row r="89" spans="1:7" s="3" customFormat="1" ht="22.5" x14ac:dyDescent="0.2">
      <c r="A89" s="49">
        <v>191</v>
      </c>
      <c r="B89" s="15" t="s">
        <v>94</v>
      </c>
      <c r="C89" s="88">
        <v>200</v>
      </c>
      <c r="D89" s="9"/>
      <c r="E89" s="9"/>
      <c r="F89" s="9"/>
      <c r="G89" s="9">
        <v>200</v>
      </c>
    </row>
    <row r="90" spans="1:7" s="3" customFormat="1" ht="22.5" x14ac:dyDescent="0.2">
      <c r="A90" s="49" t="s">
        <v>95</v>
      </c>
      <c r="B90" s="15" t="s">
        <v>96</v>
      </c>
      <c r="C90" s="88">
        <v>500</v>
      </c>
      <c r="D90" s="9"/>
      <c r="E90" s="9"/>
      <c r="F90" s="9"/>
      <c r="G90" s="9">
        <f t="shared" si="3"/>
        <v>500</v>
      </c>
    </row>
    <row r="91" spans="1:7" s="3" customFormat="1" ht="22.5" x14ac:dyDescent="0.2">
      <c r="A91" s="49">
        <f>195</f>
        <v>195</v>
      </c>
      <c r="B91" s="15" t="s">
        <v>97</v>
      </c>
      <c r="C91" s="88">
        <v>1500</v>
      </c>
      <c r="D91" s="9"/>
      <c r="E91" s="9"/>
      <c r="F91" s="9"/>
      <c r="G91" s="9">
        <f t="shared" si="3"/>
        <v>1500</v>
      </c>
    </row>
    <row r="92" spans="1:7" s="3" customFormat="1" ht="22.5" x14ac:dyDescent="0.2">
      <c r="A92" s="49">
        <v>196</v>
      </c>
      <c r="B92" s="15" t="s">
        <v>47</v>
      </c>
      <c r="C92" s="88">
        <v>30000</v>
      </c>
      <c r="D92" s="97">
        <v>10000</v>
      </c>
      <c r="E92" s="98"/>
      <c r="F92" s="98">
        <v>168730</v>
      </c>
      <c r="G92" s="10">
        <f>+C92+D92-E92+F92</f>
        <v>208730</v>
      </c>
    </row>
    <row r="93" spans="1:7" s="3" customFormat="1" x14ac:dyDescent="0.2">
      <c r="A93" s="49">
        <v>197</v>
      </c>
      <c r="B93" s="15" t="s">
        <v>48</v>
      </c>
      <c r="C93" s="88">
        <v>40000</v>
      </c>
      <c r="D93" s="12"/>
      <c r="E93" s="10"/>
      <c r="F93" s="10">
        <v>500</v>
      </c>
      <c r="G93" s="10">
        <f>+C93+D93-E93+F93</f>
        <v>40500</v>
      </c>
    </row>
    <row r="94" spans="1:7" s="3" customFormat="1" ht="22.5" x14ac:dyDescent="0.2">
      <c r="A94" s="49">
        <v>199</v>
      </c>
      <c r="B94" s="51" t="s">
        <v>49</v>
      </c>
      <c r="C94" s="88">
        <v>50000</v>
      </c>
      <c r="D94" s="13"/>
      <c r="E94" s="9"/>
      <c r="F94" s="9">
        <v>7144</v>
      </c>
      <c r="G94" s="10">
        <f>+C94+D94-E94+F94</f>
        <v>57144</v>
      </c>
    </row>
    <row r="95" spans="1:7" s="3" customFormat="1" x14ac:dyDescent="0.2">
      <c r="A95" s="49" t="s">
        <v>98</v>
      </c>
      <c r="B95" s="15" t="s">
        <v>50</v>
      </c>
      <c r="C95" s="88"/>
      <c r="D95" s="13"/>
      <c r="E95" s="9"/>
      <c r="F95" s="9"/>
      <c r="G95" s="10"/>
    </row>
    <row r="96" spans="1:7" s="3" customFormat="1" x14ac:dyDescent="0.2">
      <c r="A96" s="49">
        <v>211</v>
      </c>
      <c r="B96" s="15" t="s">
        <v>51</v>
      </c>
      <c r="C96" s="88">
        <v>185000</v>
      </c>
      <c r="D96" s="92"/>
      <c r="E96" s="88"/>
      <c r="F96" s="88">
        <v>82446.350000000006</v>
      </c>
      <c r="G96" s="10">
        <f t="shared" ref="G96:G114" si="4">+C96+D96-E96+F96</f>
        <v>267446.34999999998</v>
      </c>
    </row>
    <row r="97" spans="1:7" s="3" customFormat="1" ht="22.5" x14ac:dyDescent="0.2">
      <c r="A97" s="49" t="s">
        <v>99</v>
      </c>
      <c r="B97" s="15" t="s">
        <v>52</v>
      </c>
      <c r="C97" s="88">
        <v>39500</v>
      </c>
      <c r="D97" s="92"/>
      <c r="E97" s="88"/>
      <c r="F97" s="88">
        <v>15500</v>
      </c>
      <c r="G97" s="10">
        <f t="shared" si="4"/>
        <v>55000</v>
      </c>
    </row>
    <row r="98" spans="1:7" s="3" customFormat="1" x14ac:dyDescent="0.2">
      <c r="A98" s="49" t="s">
        <v>100</v>
      </c>
      <c r="B98" s="15" t="s">
        <v>53</v>
      </c>
      <c r="C98" s="88">
        <v>1000</v>
      </c>
      <c r="D98" s="92"/>
      <c r="E98" s="88"/>
      <c r="F98" s="88">
        <v>1500</v>
      </c>
      <c r="G98" s="10">
        <f t="shared" si="4"/>
        <v>2500</v>
      </c>
    </row>
    <row r="99" spans="1:7" s="3" customFormat="1" ht="22.5" x14ac:dyDescent="0.2">
      <c r="A99" s="49" t="s">
        <v>101</v>
      </c>
      <c r="B99" s="15" t="s">
        <v>54</v>
      </c>
      <c r="C99" s="88">
        <v>1000</v>
      </c>
      <c r="D99" s="92"/>
      <c r="E99" s="88"/>
      <c r="F99" s="88">
        <v>500</v>
      </c>
      <c r="G99" s="10">
        <f t="shared" si="4"/>
        <v>1500</v>
      </c>
    </row>
    <row r="100" spans="1:7" s="3" customFormat="1" ht="22.5" x14ac:dyDescent="0.2">
      <c r="A100" s="49">
        <v>244</v>
      </c>
      <c r="B100" s="15" t="s">
        <v>55</v>
      </c>
      <c r="C100" s="88">
        <v>2500</v>
      </c>
      <c r="D100" s="92"/>
      <c r="E100" s="88"/>
      <c r="F100" s="88">
        <v>-2500</v>
      </c>
      <c r="G100" s="10">
        <f t="shared" si="4"/>
        <v>0</v>
      </c>
    </row>
    <row r="101" spans="1:7" s="3" customFormat="1" x14ac:dyDescent="0.2">
      <c r="A101" s="49">
        <v>245</v>
      </c>
      <c r="B101" s="15" t="s">
        <v>132</v>
      </c>
      <c r="C101" s="88">
        <v>5000</v>
      </c>
      <c r="D101" s="13">
        <v>10000</v>
      </c>
      <c r="E101" s="88"/>
      <c r="F101" s="88">
        <v>7000</v>
      </c>
      <c r="G101" s="10">
        <f t="shared" si="4"/>
        <v>22000</v>
      </c>
    </row>
    <row r="102" spans="1:7" s="3" customFormat="1" x14ac:dyDescent="0.2">
      <c r="A102" s="49">
        <v>247</v>
      </c>
      <c r="B102" s="15" t="s">
        <v>56</v>
      </c>
      <c r="C102" s="88">
        <v>500</v>
      </c>
      <c r="D102" s="92"/>
      <c r="E102" s="88"/>
      <c r="F102" s="88">
        <v>500</v>
      </c>
      <c r="G102" s="10">
        <f t="shared" si="4"/>
        <v>1000</v>
      </c>
    </row>
    <row r="103" spans="1:7" s="3" customFormat="1" x14ac:dyDescent="0.2">
      <c r="A103" s="49">
        <v>262</v>
      </c>
      <c r="B103" s="15" t="s">
        <v>57</v>
      </c>
      <c r="C103" s="88">
        <v>20000</v>
      </c>
      <c r="D103" s="92"/>
      <c r="E103" s="88"/>
      <c r="F103" s="88">
        <v>32500</v>
      </c>
      <c r="G103" s="10">
        <f t="shared" si="4"/>
        <v>52500</v>
      </c>
    </row>
    <row r="104" spans="1:7" s="3" customFormat="1" ht="22.5" x14ac:dyDescent="0.2">
      <c r="A104" s="49">
        <v>266</v>
      </c>
      <c r="B104" s="15" t="s">
        <v>58</v>
      </c>
      <c r="C104" s="88">
        <v>10000</v>
      </c>
      <c r="D104" s="93"/>
      <c r="E104" s="89"/>
      <c r="F104" s="89">
        <v>14000</v>
      </c>
      <c r="G104" s="10">
        <f t="shared" si="4"/>
        <v>24000</v>
      </c>
    </row>
    <row r="105" spans="1:7" s="3" customFormat="1" ht="22.5" x14ac:dyDescent="0.2">
      <c r="A105" s="49" t="s">
        <v>102</v>
      </c>
      <c r="B105" s="15" t="s">
        <v>59</v>
      </c>
      <c r="C105" s="88">
        <v>1500</v>
      </c>
      <c r="D105" s="92"/>
      <c r="E105" s="88"/>
      <c r="F105" s="88">
        <v>900</v>
      </c>
      <c r="G105" s="10">
        <f t="shared" si="4"/>
        <v>2400</v>
      </c>
    </row>
    <row r="106" spans="1:7" s="3" customFormat="1" ht="22.5" x14ac:dyDescent="0.2">
      <c r="A106" s="49">
        <v>268</v>
      </c>
      <c r="B106" s="15" t="s">
        <v>60</v>
      </c>
      <c r="C106" s="88">
        <v>15000</v>
      </c>
      <c r="D106" s="92"/>
      <c r="E106" s="88"/>
      <c r="F106" s="88">
        <v>10000</v>
      </c>
      <c r="G106" s="10">
        <f t="shared" si="4"/>
        <v>25000</v>
      </c>
    </row>
    <row r="107" spans="1:7" s="3" customFormat="1" ht="22.5" x14ac:dyDescent="0.2">
      <c r="A107" s="49">
        <v>279</v>
      </c>
      <c r="B107" s="15" t="s">
        <v>135</v>
      </c>
      <c r="C107" s="88">
        <v>0</v>
      </c>
      <c r="D107" s="92"/>
      <c r="E107" s="88"/>
      <c r="F107" s="88">
        <v>0</v>
      </c>
      <c r="G107" s="10">
        <f t="shared" si="4"/>
        <v>0</v>
      </c>
    </row>
    <row r="108" spans="1:7" s="3" customFormat="1" x14ac:dyDescent="0.2">
      <c r="A108" s="49">
        <v>283</v>
      </c>
      <c r="B108" s="15" t="s">
        <v>61</v>
      </c>
      <c r="C108" s="88">
        <v>1500</v>
      </c>
      <c r="D108" s="92"/>
      <c r="E108" s="88"/>
      <c r="F108" s="88"/>
      <c r="G108" s="10">
        <f t="shared" si="4"/>
        <v>1500</v>
      </c>
    </row>
    <row r="109" spans="1:7" s="3" customFormat="1" x14ac:dyDescent="0.2">
      <c r="A109" s="49" t="s">
        <v>103</v>
      </c>
      <c r="B109" s="15" t="s">
        <v>62</v>
      </c>
      <c r="C109" s="88">
        <v>2000</v>
      </c>
      <c r="D109" s="93"/>
      <c r="E109" s="89"/>
      <c r="F109" s="89">
        <v>1600</v>
      </c>
      <c r="G109" s="10">
        <f t="shared" si="4"/>
        <v>3600</v>
      </c>
    </row>
    <row r="110" spans="1:7" s="3" customFormat="1" ht="22.5" x14ac:dyDescent="0.2">
      <c r="A110" s="49" t="s">
        <v>104</v>
      </c>
      <c r="B110" s="15" t="s">
        <v>63</v>
      </c>
      <c r="C110" s="88">
        <v>1500</v>
      </c>
      <c r="D110" s="92"/>
      <c r="E110" s="88"/>
      <c r="F110" s="88">
        <v>1000</v>
      </c>
      <c r="G110" s="10">
        <f t="shared" si="4"/>
        <v>2500</v>
      </c>
    </row>
    <row r="111" spans="1:7" s="3" customFormat="1" ht="22.5" x14ac:dyDescent="0.2">
      <c r="A111" s="49">
        <v>294</v>
      </c>
      <c r="B111" s="15" t="s">
        <v>64</v>
      </c>
      <c r="C111" s="88">
        <v>200840.29</v>
      </c>
      <c r="D111" s="92"/>
      <c r="E111" s="88"/>
      <c r="F111" s="88">
        <v>49159.713000000003</v>
      </c>
      <c r="G111" s="10">
        <f t="shared" si="4"/>
        <v>250000.00300000003</v>
      </c>
    </row>
    <row r="112" spans="1:7" s="3" customFormat="1" ht="22.5" x14ac:dyDescent="0.2">
      <c r="A112" s="49">
        <v>296</v>
      </c>
      <c r="B112" s="15" t="s">
        <v>105</v>
      </c>
      <c r="C112" s="88"/>
      <c r="D112" s="92"/>
      <c r="E112" s="88"/>
      <c r="F112" s="88"/>
      <c r="G112" s="10">
        <f t="shared" si="4"/>
        <v>0</v>
      </c>
    </row>
    <row r="113" spans="1:7" s="3" customFormat="1" ht="22.5" x14ac:dyDescent="0.2">
      <c r="A113" s="49">
        <v>297</v>
      </c>
      <c r="B113" s="15" t="s">
        <v>136</v>
      </c>
      <c r="C113" s="88">
        <v>1000</v>
      </c>
      <c r="D113" s="92"/>
      <c r="E113" s="88"/>
      <c r="F113" s="88">
        <v>-1000</v>
      </c>
      <c r="G113" s="10">
        <f t="shared" si="4"/>
        <v>0</v>
      </c>
    </row>
    <row r="114" spans="1:7" s="3" customFormat="1" ht="22.5" x14ac:dyDescent="0.2">
      <c r="A114" s="49" t="s">
        <v>106</v>
      </c>
      <c r="B114" s="15" t="s">
        <v>65</v>
      </c>
      <c r="C114" s="88">
        <v>10000</v>
      </c>
      <c r="D114" s="92"/>
      <c r="E114" s="88"/>
      <c r="F114" s="88">
        <v>-7500</v>
      </c>
      <c r="G114" s="10">
        <f t="shared" si="4"/>
        <v>2500</v>
      </c>
    </row>
    <row r="115" spans="1:7" s="3" customFormat="1" x14ac:dyDescent="0.2">
      <c r="A115" s="52" t="s">
        <v>107</v>
      </c>
      <c r="B115" s="53" t="s">
        <v>66</v>
      </c>
      <c r="C115" s="88"/>
      <c r="D115" s="93"/>
      <c r="E115" s="92"/>
      <c r="F115" s="88"/>
      <c r="G115" s="10"/>
    </row>
    <row r="116" spans="1:7" s="3" customFormat="1" x14ac:dyDescent="0.2">
      <c r="A116" s="49">
        <v>322</v>
      </c>
      <c r="B116" s="15" t="s">
        <v>67</v>
      </c>
      <c r="C116" s="88">
        <v>5000</v>
      </c>
      <c r="D116" s="14"/>
      <c r="E116" s="13"/>
      <c r="F116" s="9">
        <v>1000</v>
      </c>
      <c r="G116" s="10">
        <f>C116+D116-E116+F116</f>
        <v>6000</v>
      </c>
    </row>
    <row r="117" spans="1:7" s="3" customFormat="1" ht="22.5" x14ac:dyDescent="0.2">
      <c r="A117" s="49">
        <v>324</v>
      </c>
      <c r="B117" s="54" t="s">
        <v>84</v>
      </c>
      <c r="C117" s="89"/>
      <c r="D117" s="14"/>
      <c r="E117" s="14">
        <v>10000</v>
      </c>
      <c r="F117" s="11">
        <v>20000</v>
      </c>
      <c r="G117" s="10">
        <f>C117+D117-E117+F117</f>
        <v>10000</v>
      </c>
    </row>
    <row r="118" spans="1:7" s="3" customFormat="1" x14ac:dyDescent="0.2">
      <c r="A118" s="49">
        <v>328</v>
      </c>
      <c r="B118" s="54" t="s">
        <v>68</v>
      </c>
      <c r="C118" s="89">
        <v>2500</v>
      </c>
      <c r="D118" s="11"/>
      <c r="E118" s="14">
        <v>10000</v>
      </c>
      <c r="F118" s="11">
        <v>22500</v>
      </c>
      <c r="G118" s="55">
        <f>C118+D118-E118+F118</f>
        <v>15000</v>
      </c>
    </row>
    <row r="119" spans="1:7" s="3" customFormat="1" x14ac:dyDescent="0.2">
      <c r="A119" s="56">
        <v>329</v>
      </c>
      <c r="B119" s="57" t="s">
        <v>83</v>
      </c>
      <c r="C119" s="88">
        <v>15500</v>
      </c>
      <c r="D119" s="9">
        <v>10000</v>
      </c>
      <c r="E119" s="9"/>
      <c r="F119" s="9">
        <v>-15500</v>
      </c>
      <c r="G119" s="9">
        <f>C119+D119-E119+F119</f>
        <v>10000</v>
      </c>
    </row>
    <row r="120" spans="1:7" s="3" customFormat="1" x14ac:dyDescent="0.2">
      <c r="A120" s="49" t="s">
        <v>108</v>
      </c>
      <c r="B120" s="58" t="s">
        <v>69</v>
      </c>
      <c r="C120" s="90"/>
      <c r="D120" s="10"/>
      <c r="E120" s="10"/>
      <c r="F120" s="10"/>
      <c r="G120" s="10"/>
    </row>
    <row r="121" spans="1:7" ht="22.5" x14ac:dyDescent="0.2">
      <c r="A121" s="49" t="s">
        <v>109</v>
      </c>
      <c r="B121" s="59" t="s">
        <v>70</v>
      </c>
      <c r="C121" s="91">
        <v>25480</v>
      </c>
      <c r="D121" s="9"/>
      <c r="E121" s="9"/>
      <c r="F121" s="9">
        <v>5031.2</v>
      </c>
      <c r="G121" s="9">
        <f>+C121+D121-E121+F121</f>
        <v>30511.200000000001</v>
      </c>
    </row>
    <row r="122" spans="1:7" ht="22.5" x14ac:dyDescent="0.2">
      <c r="A122" s="49">
        <v>415</v>
      </c>
      <c r="B122" s="59" t="s">
        <v>71</v>
      </c>
      <c r="C122" s="91">
        <v>9500</v>
      </c>
      <c r="D122" s="9"/>
      <c r="E122" s="9"/>
      <c r="F122" s="9">
        <v>5309.5</v>
      </c>
      <c r="G122" s="9">
        <f>+C122+D122-E122+F122</f>
        <v>14809.5</v>
      </c>
    </row>
    <row r="123" spans="1:7" ht="22.5" x14ac:dyDescent="0.2">
      <c r="A123" s="49">
        <v>419</v>
      </c>
      <c r="B123" s="16" t="s">
        <v>72</v>
      </c>
      <c r="C123" s="92">
        <f>222727.4-1638.63</f>
        <v>221088.77</v>
      </c>
      <c r="D123" s="9"/>
      <c r="E123" s="9"/>
      <c r="F123" s="9">
        <v>33911.230000000003</v>
      </c>
      <c r="G123" s="9">
        <f>+C123+D123-E123+F123</f>
        <v>255000</v>
      </c>
    </row>
    <row r="124" spans="1:7" ht="33.75" x14ac:dyDescent="0.2">
      <c r="A124" s="49">
        <v>472</v>
      </c>
      <c r="B124" s="16" t="s">
        <v>73</v>
      </c>
      <c r="C124" s="92">
        <v>58749.16</v>
      </c>
      <c r="D124" s="9"/>
      <c r="E124" s="9"/>
      <c r="F124" s="9">
        <v>4200.84</v>
      </c>
      <c r="G124" s="9">
        <f>+C124+D124-E124+F124</f>
        <v>62950</v>
      </c>
    </row>
    <row r="125" spans="1:7" ht="33.75" x14ac:dyDescent="0.2">
      <c r="A125" s="49"/>
      <c r="B125" s="16" t="s">
        <v>110</v>
      </c>
      <c r="C125" s="92"/>
      <c r="D125" s="9"/>
      <c r="E125" s="9"/>
      <c r="G125" s="9"/>
    </row>
    <row r="126" spans="1:7" ht="22.5" x14ac:dyDescent="0.2">
      <c r="A126" s="49"/>
      <c r="B126" s="16" t="s">
        <v>117</v>
      </c>
      <c r="C126" s="92">
        <v>0</v>
      </c>
      <c r="D126" s="9"/>
      <c r="E126" s="9"/>
      <c r="G126" s="9">
        <f>+C126+D126-E126+F126</f>
        <v>0</v>
      </c>
    </row>
    <row r="127" spans="1:7" ht="22.5" x14ac:dyDescent="0.2">
      <c r="A127" s="49"/>
      <c r="B127" s="16" t="s">
        <v>118</v>
      </c>
      <c r="C127" s="92">
        <v>0</v>
      </c>
      <c r="D127" s="9"/>
      <c r="E127" s="9"/>
      <c r="G127" s="9">
        <f>+C127+D127-E127+F127</f>
        <v>0</v>
      </c>
    </row>
    <row r="128" spans="1:7" x14ac:dyDescent="0.2">
      <c r="A128" s="49"/>
      <c r="B128" s="16" t="s">
        <v>119</v>
      </c>
      <c r="C128" s="92">
        <v>0</v>
      </c>
      <c r="D128" s="9"/>
      <c r="E128" s="9"/>
      <c r="F128" s="9"/>
      <c r="G128" s="9">
        <f>+C128+D128-E128+F128</f>
        <v>0</v>
      </c>
    </row>
    <row r="129" spans="1:7" ht="22.5" x14ac:dyDescent="0.2">
      <c r="A129" s="49"/>
      <c r="B129" s="16" t="s">
        <v>120</v>
      </c>
      <c r="C129" s="92">
        <v>0</v>
      </c>
      <c r="D129" s="9"/>
      <c r="E129" s="9"/>
      <c r="F129" s="9"/>
      <c r="G129" s="9">
        <f>+C129+D129-E129+F129</f>
        <v>0</v>
      </c>
    </row>
    <row r="130" spans="1:7" x14ac:dyDescent="0.2">
      <c r="A130" s="49"/>
      <c r="B130" s="16" t="s">
        <v>121</v>
      </c>
      <c r="C130" s="92">
        <v>0</v>
      </c>
      <c r="D130" s="9"/>
      <c r="E130" s="9"/>
      <c r="F130" s="9"/>
      <c r="G130" s="9">
        <f>+C130+D130-E130+F130</f>
        <v>0</v>
      </c>
    </row>
    <row r="131" spans="1:7" x14ac:dyDescent="0.2">
      <c r="A131" s="49"/>
      <c r="B131" s="21" t="s">
        <v>137</v>
      </c>
      <c r="C131" s="92">
        <v>0</v>
      </c>
      <c r="D131" s="11"/>
      <c r="E131" s="11"/>
      <c r="F131" s="11"/>
      <c r="G131" s="11"/>
    </row>
    <row r="132" spans="1:7" x14ac:dyDescent="0.2">
      <c r="A132" s="49"/>
      <c r="B132" s="21" t="s">
        <v>122</v>
      </c>
      <c r="C132" s="92">
        <v>0</v>
      </c>
      <c r="D132" s="11"/>
      <c r="E132" s="11"/>
      <c r="F132" s="11"/>
      <c r="G132" s="11"/>
    </row>
    <row r="133" spans="1:7" ht="33.75" x14ac:dyDescent="0.2">
      <c r="A133" s="49"/>
      <c r="B133" s="21" t="s">
        <v>123</v>
      </c>
      <c r="C133" s="92">
        <v>0</v>
      </c>
      <c r="D133" s="11"/>
      <c r="E133" s="11"/>
      <c r="F133" s="11"/>
      <c r="G133" s="11"/>
    </row>
    <row r="134" spans="1:7" ht="22.5" x14ac:dyDescent="0.2">
      <c r="A134" s="49"/>
      <c r="B134" s="21" t="s">
        <v>124</v>
      </c>
      <c r="C134" s="92">
        <v>0</v>
      </c>
      <c r="D134" s="11"/>
      <c r="E134" s="11"/>
      <c r="F134" s="11"/>
      <c r="G134" s="11"/>
    </row>
    <row r="135" spans="1:7" x14ac:dyDescent="0.2">
      <c r="A135" s="49"/>
      <c r="B135" s="21" t="s">
        <v>125</v>
      </c>
      <c r="C135" s="92">
        <v>0</v>
      </c>
      <c r="D135" s="11"/>
      <c r="E135" s="11"/>
      <c r="F135" s="11"/>
      <c r="G135" s="11"/>
    </row>
    <row r="136" spans="1:7" x14ac:dyDescent="0.2">
      <c r="A136" s="49"/>
      <c r="B136" s="21" t="s">
        <v>126</v>
      </c>
      <c r="C136" s="92">
        <v>0</v>
      </c>
      <c r="D136" s="11"/>
      <c r="E136" s="11"/>
      <c r="F136" s="11"/>
      <c r="G136" s="11">
        <f>+C136+D136-E136+F136</f>
        <v>0</v>
      </c>
    </row>
    <row r="137" spans="1:7" x14ac:dyDescent="0.2">
      <c r="A137" s="49"/>
      <c r="B137" s="21" t="s">
        <v>134</v>
      </c>
      <c r="C137" s="93">
        <v>0</v>
      </c>
      <c r="D137" s="11"/>
      <c r="E137" s="11"/>
      <c r="F137" s="11"/>
      <c r="G137" s="11">
        <f>+C137+D137-E137+F137</f>
        <v>0</v>
      </c>
    </row>
    <row r="138" spans="1:7" ht="33.75" x14ac:dyDescent="0.2">
      <c r="A138" s="49"/>
      <c r="B138" s="21" t="s">
        <v>128</v>
      </c>
      <c r="C138" s="93"/>
      <c r="D138" s="11"/>
      <c r="E138" s="11"/>
      <c r="F138" s="11"/>
      <c r="G138" s="11"/>
    </row>
    <row r="139" spans="1:7" ht="33.75" x14ac:dyDescent="0.2">
      <c r="A139" s="49"/>
      <c r="B139" s="21" t="s">
        <v>127</v>
      </c>
      <c r="C139" s="93"/>
      <c r="D139" s="11"/>
      <c r="E139" s="11"/>
      <c r="F139" s="11"/>
      <c r="G139" s="11"/>
    </row>
    <row r="140" spans="1:7" ht="12.75" thickBot="1" x14ac:dyDescent="0.25">
      <c r="A140" s="49"/>
      <c r="B140" s="21" t="s">
        <v>138</v>
      </c>
      <c r="C140" s="93"/>
      <c r="D140" s="11"/>
      <c r="E140" s="11"/>
      <c r="F140" s="11"/>
      <c r="G140" s="11"/>
    </row>
    <row r="141" spans="1:7" ht="12.75" thickBot="1" x14ac:dyDescent="0.25">
      <c r="A141" s="60"/>
      <c r="B141" s="61" t="s">
        <v>74</v>
      </c>
      <c r="C141" s="92">
        <f>SUM(C54:C140)</f>
        <v>3557378.2700000005</v>
      </c>
      <c r="D141" s="13">
        <f>SUM(D54:D140)</f>
        <v>30000</v>
      </c>
      <c r="E141" s="13">
        <f>SUM(E54:E140)</f>
        <v>30000</v>
      </c>
      <c r="F141" s="13">
        <f>SUM(F54:F140)</f>
        <v>683920.96299999987</v>
      </c>
      <c r="G141" s="13">
        <f>SUM(G54:G140)</f>
        <v>4241299.233</v>
      </c>
    </row>
    <row r="142" spans="1:7" ht="34.5" thickBot="1" x14ac:dyDescent="0.25">
      <c r="A142" s="68"/>
      <c r="B142" s="70" t="s">
        <v>141</v>
      </c>
      <c r="C142" s="94"/>
      <c r="D142" s="71"/>
      <c r="E142" s="71"/>
      <c r="F142" s="69"/>
      <c r="G142" s="69"/>
    </row>
  </sheetData>
  <mergeCells count="30"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  <mergeCell ref="B35:G35"/>
    <mergeCell ref="B36:G36"/>
    <mergeCell ref="B37:G37"/>
    <mergeCell ref="B38:G38"/>
    <mergeCell ref="B49:G49"/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</mergeCells>
  <pageMargins left="1.4960629921259843" right="0.70866141732283472" top="1.3779527559055118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ASESOR FINANCIERO</cp:lastModifiedBy>
  <cp:lastPrinted>2023-02-22T21:54:03Z</cp:lastPrinted>
  <dcterms:created xsi:type="dcterms:W3CDTF">2018-09-06T17:50:41Z</dcterms:created>
  <dcterms:modified xsi:type="dcterms:W3CDTF">2023-02-22T21:55:01Z</dcterms:modified>
</cp:coreProperties>
</file>