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PRESUPUESTARIA'!$A$1:$O$106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<sst xmlns="http://schemas.openxmlformats.org/spreadsheetml/2006/main" count="613" uniqueCount="396">
  <si>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</si>
  <si>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</si>
  <si>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</si>
  <si>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</si>
  <si>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</si>
  <si>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</si>
  <si>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</si>
  <si>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</si>
  <si>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</si>
  <si>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</si>
  <si>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</si>
  <si>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</si>
  <si>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</si>
  <si>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</si>
  <si>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</si>
  <si>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</si>
  <si>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</si>
  <si>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</si>
  <si>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</si>
  <si>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</si>
  <si>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</si>
  <si>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</si>
  <si>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</si>
  <si>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</si>
  <si>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</si>
  <si>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</si>
  <si>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</si>
  <si>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</si>
  <si>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</si>
  <si>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</si>
  <si>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</si>
  <si>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</si>
  <si>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</si>
  <si>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</si>
  <si>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</si>
  <si>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</si>
  <si>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</si>
  <si>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</si>
  <si>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</si>
  <si>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</si>
  <si>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</si>
  <si>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</si>
  <si>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</si>
  <si>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</si>
  <si>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</si>
  <si>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</si>
  <si>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</si>
  <si>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</si>
  <si>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</si>
  <si>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</si>
  <si>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</si>
  <si>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</si>
  <si>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</si>
  <si>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</si>
  <si>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</si>
  <si>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</si>
  <si>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</si>
  <si>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</si>
  <si>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</si>
  <si>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</si>
  <si>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</si>
  <si>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</si>
  <si>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</si>
  <si>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</si>
  <si>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</si>
  <si>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</si>
  <si>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</si>
  <si>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</si>
  <si>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</si>
  <si>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</si>
  <si>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</si>
  <si>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</si>
  <si>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</si>
  <si>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</si>
  <si>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</si>
  <si>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</si>
  <si>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</si>
  <si>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</si>
  <si>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</si>
  <si>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</si>
  <si>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</si>
  <si>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</si>
  <si>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</si>
  <si>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</si>
  <si>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</si>
  <si>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</si>
  <si>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</si>
  <si>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</si>
  <si>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</si>
  <si>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</si>
  <si>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</si>
  <si>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</si>
  <si>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</si>
  <si>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</si>
  <si>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</si>
  <si>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</si>
  <si>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</si>
  <si>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</si>
  <si>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</si>
  <si>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</si>
  <si>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</si>
  <si>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</si>
  <si>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</si>
  <si>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</si>
  <si>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</si>
  <si>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</si>
  <si>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</si>
  <si>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</si>
  <si>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</si>
  <si>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</si>
  <si>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</si>
  <si>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</si>
  <si>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</si>
  <si>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</si>
  <si>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</si>
  <si>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</si>
  <si>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</si>
  <si>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</si>
  <si>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</si>
  <si>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</si>
  <si>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</si>
  <si>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</si>
  <si>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</si>
  <si>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</si>
  <si>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</si>
  <si>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</si>
  <si>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</si>
  <si>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</si>
  <si>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</si>
  <si>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</si>
  <si>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</si>
  <si>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</si>
  <si>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</si>
  <si>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</si>
  <si>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</si>
  <si>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</si>
  <si>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</si>
  <si>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</si>
  <si>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</si>
  <si>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</si>
  <si>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</si>
  <si>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</si>
  <si>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</si>
  <si>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</si>
  <si>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</si>
  <si>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</si>
  <si>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</si>
  <si>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</si>
  <si>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</si>
  <si>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</si>
  <si>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</si>
  <si>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</si>
  <si>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</si>
  <si>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</si>
  <si>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</si>
  <si>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</si>
  <si>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</si>
  <si>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</si>
  <si>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</si>
  <si>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</si>
  <si>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</si>
  <si>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</si>
  <si>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</si>
  <si>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</si>
  <si>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</si>
  <si>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</si>
  <si>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</si>
  <si>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</si>
  <si>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</si>
  <si>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</si>
  <si>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</si>
  <si>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</si>
  <si>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</si>
  <si>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</si>
  <si>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</si>
  <si>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</si>
  <si>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</si>
  <si>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</si>
  <si>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</si>
  <si>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</si>
  <si>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</si>
  <si>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</si>
  <si>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</si>
  <si>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</si>
  <si>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</si>
  <si>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</si>
  <si>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</si>
  <si>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</si>
  <si>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</si>
  <si>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</si>
  <si>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</si>
  <si>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</si>
  <si>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</si>
  <si>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</si>
  <si>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</si>
  <si>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</si>
  <si>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</si>
  <si>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</si>
  <si>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</si>
  <si>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</si>
  <si>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</si>
  <si>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</si>
  <si>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</si>
  <si>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</si>
  <si>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</si>
  <si>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</si>
  <si>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</si>
  <si>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</si>
  <si>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</si>
  <si>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</si>
  <si>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</si>
  <si>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</si>
  <si>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</si>
  <si>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</si>
  <si>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</si>
  <si>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</si>
  <si>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</si>
  <si>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</si>
  <si>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</si>
  <si>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</si>
  <si>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</si>
  <si>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</si>
  <si>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</si>
  <si>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</si>
  <si>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</si>
  <si>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</si>
  <si>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</si>
  <si>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</si>
  <si>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</si>
  <si>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</si>
  <si>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</si>
  <si>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</si>
  <si>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</si>
  <si>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</si>
  <si>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</si>
  <si>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</si>
  <si>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</si>
  <si>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</si>
  <si>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</si>
  <si>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</si>
  <si>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</si>
  <si>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</si>
  <si>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</si>
  <si>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</si>
  <si>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</si>
  <si>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</si>
  <si>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</si>
  <si>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</si>
  <si>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</si>
  <si>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</si>
  <si>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</si>
  <si>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</si>
  <si>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</si>
  <si>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</si>
  <si>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</si>
  <si>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</si>
  <si>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</si>
  <si>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</si>
  <si>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</si>
  <si>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</si>
  <si>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</si>
  <si>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</si>
  <si>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</si>
  <si>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</si>
  <si>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</si>
  <si>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</si>
  <si>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</si>
  <si>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</si>
  <si>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</si>
  <si>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</si>
  <si>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</si>
  <si>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</si>
  <si>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</si>
  <si>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</si>
  <si>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</si>
  <si>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</si>
  <si>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</si>
  <si>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</si>
  <si>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</si>
  <si>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</si>
  <si>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</si>
  <si>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</si>
  <si>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</si>
  <si>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</si>
  <si>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</si>
  <si>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</si>
  <si>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</si>
  <si>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</si>
  <si>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</si>
  <si>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</si>
  <si>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</si>
  <si>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</si>
  <si>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</si>
  <si>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</si>
  <si>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</si>
  <si>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</si>
  <si>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</si>
  <si>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</si>
  <si>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</si>
  <si>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</si>
  <si>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</si>
  <si>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</si>
  <si>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</si>
  <si>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</si>
  <si>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</si>
  <si>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</si>
  <si>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</si>
  <si>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</si>
  <si>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</si>
  <si>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</si>
  <si>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</si>
  <si>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</si>
  <si>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</si>
  <si>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</si>
  <si>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</si>
  <si>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</si>
  <si>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</si>
  <si>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</si>
  <si>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</si>
  <si>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</si>
  <si>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</si>
  <si>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</si>
  <si>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</si>
  <si>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</si>
  <si>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</si>
  <si>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</si>
  <si>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</si>
  <si>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</si>
  <si>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</si>
  <si>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</si>
  <si>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</si>
  <si>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</si>
  <si>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</si>
  <si>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</si>
  <si>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</si>
  <si>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</si>
  <si>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</si>
  <si>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</si>
  <si>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</si>
  <si>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</si>
  <si>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</si>
  <si>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</si>
  <si>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</si>
  <si>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</si>
  <si>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</si>
  <si>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</si>
  <si>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</si>
  <si>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</si>
  <si>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</si>
  <si>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</si>
  <si>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</si>
  <si>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</si>
  <si>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</si>
  <si>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</si>
  <si>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</si>
  <si>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</si>
  <si>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</si>
  <si>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</si>
  <si>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</si>
  <si>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</si>
  <si>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</si>
  <si>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</si>
  <si>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</si>
  <si>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</si>
  <si>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</si>
  <si>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</si>
  <si>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</si>
  <si>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</si>
  <si>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</si>
  <si>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</si>
  <si>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</si>
  <si>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</si>
  <si>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</si>
  <si>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</si>
  <si>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</si>
  <si>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</si>
  <si>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</si>
  <si>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</si>
  <si>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</si>
  <si>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</si>
  <si>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</si>
  <si>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</si>
  <si>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</si>
  <si>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</si>
  <si>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</si>
  <si>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</si>
  <si>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</si>
  <si>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</si>
  <si>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</si>
  <si>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</si>
  <si>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</si>
  <si>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TOTAL DE PORCENTAJE EJECUTADO SEGÚN DISTRIBUCION</t>
  </si>
  <si>
    <t>Ejecucion Presupuestaria de Egresos 2022</t>
  </si>
  <si>
    <t>RESPONSABLE DE LA PUBLICACION Y PAGINA WEB: MARIO RODOLFO CASTRO ESCOBAR</t>
  </si>
  <si>
    <t>ACUMULADO A DICIEMBRE 2022</t>
  </si>
  <si>
    <t>FECHA DE ACTUALIZACIÓN:  DICIEMBRE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</si>
</sst>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6">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b/>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top style="thin"/>
      <bottom/>
    </border>
    <border>
      <left style="medium"/>
      <right style="medium"/>
      <top>
        <color indexed="63"/>
      </top>
      <bottom style="medium"/>
    </border>
    <border>
      <left style="medium"/>
      <right style="medium"/>
      <top style="thin"/>
      <bottom style="hair"/>
    </border>
    <border>
      <left style="medium"/>
      <right style="medium">
        <color indexed="8"/>
      </right>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style="thin"/>
      <right/>
      <top style="thin"/>
      <bottom style="thin"/>
    </border>
    <border>
      <left style="thin"/>
      <right/>
      <top style="thin"/>
      <bottom/>
    </border>
    <border>
      <left style="thin"/>
      <right/>
      <top/>
      <bottom style="thin"/>
    </border>
    <border>
      <left style="thin"/>
      <right style="thin"/>
      <top/>
      <bottom style="thin"/>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71"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4" fillId="20"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30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80" fillId="34" borderId="0" xfId="0" applyNumberFormat="1" applyFont="1" applyFill="1" applyAlignment="1">
      <alignment horizontal="center"/>
    </xf>
    <xf numFmtId="4" fontId="80" fillId="34" borderId="0" xfId="0" applyNumberFormat="1" applyFont="1" applyFill="1" applyAlignment="1">
      <alignment/>
    </xf>
    <xf numFmtId="0" fontId="80" fillId="34" borderId="0" xfId="0" applyNumberFormat="1" applyFont="1" applyFill="1" applyAlignment="1">
      <alignment horizontal="center"/>
    </xf>
    <xf numFmtId="191" fontId="80" fillId="34" borderId="0" xfId="52" applyNumberFormat="1" applyFont="1" applyFill="1" applyBorder="1" applyAlignment="1">
      <alignment/>
    </xf>
    <xf numFmtId="0" fontId="80" fillId="34" borderId="0" xfId="0" applyFont="1" applyFill="1" applyAlignment="1">
      <alignment/>
    </xf>
    <xf numFmtId="191" fontId="80" fillId="34" borderId="0" xfId="0" applyNumberFormat="1" applyFont="1" applyFill="1" applyAlignment="1">
      <alignment/>
    </xf>
    <xf numFmtId="0" fontId="80" fillId="34" borderId="0" xfId="0" applyFont="1" applyFill="1" applyAlignment="1">
      <alignment horizontal="left"/>
    </xf>
    <xf numFmtId="16" fontId="80" fillId="34" borderId="0" xfId="0" applyNumberFormat="1" applyFont="1" applyFill="1" applyAlignment="1">
      <alignment horizontal="right"/>
    </xf>
    <xf numFmtId="0" fontId="81" fillId="34" borderId="0" xfId="0" applyFont="1" applyFill="1" applyBorder="1" applyAlignment="1">
      <alignment/>
    </xf>
    <xf numFmtId="4" fontId="80" fillId="34" borderId="0" xfId="0" applyNumberFormat="1" applyFont="1" applyFill="1" applyAlignment="1">
      <alignment horizontal="center"/>
    </xf>
    <xf numFmtId="0" fontId="81" fillId="34" borderId="0" xfId="0" applyFont="1" applyFill="1" applyBorder="1" applyAlignment="1">
      <alignment horizontal="left"/>
    </xf>
    <xf numFmtId="0" fontId="81" fillId="34" borderId="0" xfId="0" applyFont="1" applyFill="1" applyBorder="1" applyAlignment="1">
      <alignment horizontal="right"/>
    </xf>
    <xf numFmtId="0" fontId="80" fillId="34" borderId="0" xfId="0" applyFont="1" applyFill="1" applyBorder="1" applyAlignment="1">
      <alignment/>
    </xf>
    <xf numFmtId="0" fontId="80" fillId="34" borderId="0" xfId="52" applyNumberFormat="1" applyFont="1" applyFill="1" applyBorder="1" applyAlignment="1">
      <alignment horizontal="right"/>
    </xf>
    <xf numFmtId="0" fontId="80" fillId="34" borderId="0" xfId="0" applyFont="1" applyFill="1" applyBorder="1" applyAlignment="1">
      <alignment horizontal="center"/>
    </xf>
    <xf numFmtId="191" fontId="80" fillId="34" borderId="0" xfId="0" applyNumberFormat="1" applyFont="1" applyFill="1" applyBorder="1" applyAlignment="1">
      <alignment/>
    </xf>
    <xf numFmtId="4" fontId="80" fillId="34" borderId="0" xfId="0" applyNumberFormat="1" applyFont="1" applyFill="1" applyBorder="1" applyAlignment="1">
      <alignment/>
    </xf>
    <xf numFmtId="0" fontId="80" fillId="34" borderId="0" xfId="0" applyNumberFormat="1" applyFont="1" applyFill="1" applyBorder="1" applyAlignment="1">
      <alignment horizontal="center"/>
    </xf>
    <xf numFmtId="0" fontId="80" fillId="34" borderId="0" xfId="0" applyFont="1" applyFill="1" applyAlignment="1">
      <alignment/>
    </xf>
    <xf numFmtId="170" fontId="80" fillId="34" borderId="0" xfId="0" applyNumberFormat="1" applyFont="1" applyFill="1" applyAlignment="1">
      <alignment horizontal="center"/>
    </xf>
    <xf numFmtId="170" fontId="80" fillId="34" borderId="0" xfId="0" applyNumberFormat="1" applyFont="1" applyFill="1" applyAlignment="1">
      <alignment horizontal="right"/>
    </xf>
    <xf numFmtId="0" fontId="82" fillId="34" borderId="0" xfId="0" applyFont="1" applyFill="1" applyAlignment="1">
      <alignment horizontal="left"/>
    </xf>
    <xf numFmtId="0" fontId="82" fillId="34" borderId="0" xfId="0" applyFont="1" applyFill="1" applyAlignment="1">
      <alignment/>
    </xf>
    <xf numFmtId="0" fontId="80" fillId="34" borderId="0" xfId="0" applyNumberFormat="1" applyFont="1" applyFill="1" applyAlignment="1">
      <alignment horizontal="right"/>
    </xf>
    <xf numFmtId="0" fontId="82" fillId="34" borderId="0" xfId="0" applyFont="1" applyFill="1" applyAlignment="1">
      <alignment/>
    </xf>
    <xf numFmtId="49" fontId="82" fillId="34" borderId="0" xfId="0" applyNumberFormat="1" applyFont="1" applyFill="1" applyAlignment="1">
      <alignment horizontal="center"/>
    </xf>
    <xf numFmtId="0" fontId="80" fillId="34" borderId="0" xfId="0" applyNumberFormat="1" applyFont="1" applyFill="1" applyAlignment="1">
      <alignment/>
    </xf>
    <xf numFmtId="0" fontId="80" fillId="34" borderId="0" xfId="0" applyFont="1" applyFill="1" applyAlignment="1">
      <alignment horizontal="right"/>
    </xf>
    <xf numFmtId="0" fontId="83" fillId="34" borderId="0" xfId="0" applyNumberFormat="1" applyFont="1" applyFill="1" applyBorder="1" applyAlignment="1">
      <alignment horizontal="center"/>
    </xf>
    <xf numFmtId="0" fontId="82" fillId="34" borderId="0" xfId="0" applyFont="1" applyFill="1" applyBorder="1" applyAlignment="1">
      <alignment horizontal="left"/>
    </xf>
    <xf numFmtId="0" fontId="80" fillId="34" borderId="0" xfId="0" applyFont="1" applyFill="1" applyBorder="1" applyAlignment="1">
      <alignment horizontal="left"/>
    </xf>
    <xf numFmtId="0" fontId="80" fillId="34" borderId="0" xfId="52" applyNumberFormat="1" applyFont="1" applyFill="1" applyBorder="1" applyAlignment="1">
      <alignment horizontal="center"/>
    </xf>
    <xf numFmtId="0" fontId="82" fillId="34" borderId="0" xfId="0" applyFont="1" applyFill="1" applyBorder="1" applyAlignment="1">
      <alignment horizontal="center"/>
    </xf>
    <xf numFmtId="191" fontId="80" fillId="34" borderId="0" xfId="52" applyNumberFormat="1" applyFont="1" applyFill="1" applyBorder="1" applyAlignment="1">
      <alignment horizontal="right"/>
    </xf>
    <xf numFmtId="0" fontId="84" fillId="34" borderId="0" xfId="0" applyFont="1" applyFill="1" applyBorder="1" applyAlignment="1">
      <alignment/>
    </xf>
    <xf numFmtId="0" fontId="84" fillId="34" borderId="0" xfId="0" applyFont="1" applyFill="1" applyAlignment="1">
      <alignment/>
    </xf>
    <xf numFmtId="0" fontId="81" fillId="34" borderId="0" xfId="0" applyFont="1" applyFill="1" applyAlignment="1">
      <alignment horizontal="left"/>
    </xf>
    <xf numFmtId="170" fontId="80" fillId="34" borderId="0" xfId="0" applyNumberFormat="1" applyFont="1" applyFill="1" applyAlignment="1">
      <alignment/>
    </xf>
    <xf numFmtId="0" fontId="80" fillId="34" borderId="0" xfId="52" applyNumberFormat="1" applyFont="1" applyFill="1" applyAlignment="1">
      <alignment horizontal="center"/>
    </xf>
    <xf numFmtId="191" fontId="80" fillId="34" borderId="0" xfId="52" applyNumberFormat="1" applyFont="1" applyFill="1" applyAlignment="1">
      <alignment/>
    </xf>
    <xf numFmtId="191" fontId="80" fillId="34" borderId="0" xfId="52" applyNumberFormat="1" applyFont="1" applyFill="1" applyBorder="1" applyAlignment="1">
      <alignment horizontal="left"/>
    </xf>
    <xf numFmtId="168" fontId="80" fillId="34" borderId="0" xfId="0" applyNumberFormat="1" applyFont="1" applyFill="1" applyBorder="1" applyAlignment="1">
      <alignment horizontal="left"/>
    </xf>
    <xf numFmtId="0" fontId="80" fillId="34" borderId="0" xfId="50" applyNumberFormat="1" applyFont="1" applyFill="1" applyBorder="1" applyAlignment="1">
      <alignment horizontal="center"/>
    </xf>
    <xf numFmtId="49" fontId="80" fillId="34" borderId="0" xfId="0" applyNumberFormat="1" applyFont="1" applyFill="1" applyBorder="1" applyAlignment="1">
      <alignment horizontal="left"/>
    </xf>
    <xf numFmtId="0" fontId="80" fillId="34" borderId="0" xfId="0" applyFont="1" applyFill="1" applyBorder="1" applyAlignment="1">
      <alignment horizontal="right"/>
    </xf>
    <xf numFmtId="0" fontId="81" fillId="34" borderId="0" xfId="0" applyFont="1" applyFill="1" applyBorder="1" applyAlignment="1">
      <alignment horizontal="center"/>
    </xf>
    <xf numFmtId="191" fontId="82" fillId="34" borderId="0" xfId="52" applyNumberFormat="1" applyFont="1" applyFill="1" applyBorder="1" applyAlignment="1">
      <alignment/>
    </xf>
    <xf numFmtId="0" fontId="81" fillId="34" borderId="0" xfId="0" applyFont="1" applyFill="1" applyAlignment="1">
      <alignment horizontal="right"/>
    </xf>
    <xf numFmtId="0" fontId="82"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80" fillId="34" borderId="0" xfId="0" applyNumberFormat="1" applyFont="1" applyFill="1" applyBorder="1" applyAlignment="1">
      <alignment horizontal="center"/>
    </xf>
    <xf numFmtId="0" fontId="34" fillId="34" borderId="0" xfId="0" applyFont="1" applyFill="1" applyBorder="1" applyAlignment="1">
      <alignment/>
    </xf>
    <xf numFmtId="0" fontId="85" fillId="34" borderId="0" xfId="0" applyNumberFormat="1" applyFont="1" applyFill="1" applyBorder="1" applyAlignment="1">
      <alignment horizontal="justify" wrapText="1"/>
    </xf>
    <xf numFmtId="43" fontId="80"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80" fillId="34" borderId="0" xfId="0" applyNumberFormat="1" applyFont="1" applyFill="1" applyAlignment="1">
      <alignment/>
    </xf>
    <xf numFmtId="191" fontId="80" fillId="34" borderId="0" xfId="0" applyNumberFormat="1" applyFont="1" applyFill="1" applyBorder="1" applyAlignment="1">
      <alignment/>
    </xf>
    <xf numFmtId="191" fontId="80" fillId="34" borderId="0" xfId="52" applyNumberFormat="1" applyFont="1" applyFill="1" applyBorder="1" applyAlignment="1">
      <alignment/>
    </xf>
    <xf numFmtId="2" fontId="80" fillId="34" borderId="0" xfId="0" applyNumberFormat="1" applyFont="1" applyFill="1" applyAlignment="1">
      <alignment/>
    </xf>
    <xf numFmtId="191" fontId="82" fillId="34" borderId="0" xfId="0" applyNumberFormat="1" applyFont="1" applyFill="1" applyBorder="1" applyAlignment="1">
      <alignment/>
    </xf>
    <xf numFmtId="44" fontId="80"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80" fillId="34" borderId="17" xfId="52" applyNumberFormat="1" applyFont="1" applyFill="1" applyBorder="1" applyAlignment="1">
      <alignment/>
    </xf>
    <xf numFmtId="4" fontId="29" fillId="34" borderId="0" xfId="0" applyNumberFormat="1" applyFont="1" applyFill="1" applyBorder="1" applyAlignment="1">
      <alignment horizontal="center"/>
    </xf>
    <xf numFmtId="0" fontId="82" fillId="34" borderId="0" xfId="0" applyFont="1" applyFill="1" applyAlignment="1">
      <alignment horizontal="center"/>
    </xf>
    <xf numFmtId="0" fontId="80" fillId="34" borderId="0" xfId="0" applyFont="1" applyFill="1" applyAlignment="1">
      <alignment horizontal="center"/>
    </xf>
    <xf numFmtId="0" fontId="85" fillId="34" borderId="0" xfId="0" applyNumberFormat="1" applyFont="1" applyFill="1" applyBorder="1" applyAlignment="1">
      <alignment horizontal="left" wrapText="1"/>
    </xf>
    <xf numFmtId="44" fontId="80"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2" fillId="34" borderId="21" xfId="0" applyFont="1" applyFill="1" applyBorder="1" applyAlignment="1">
      <alignment horizontal="left" wrapText="1"/>
    </xf>
    <xf numFmtId="0" fontId="2" fillId="34" borderId="22" xfId="0" applyFont="1" applyFill="1" applyBorder="1" applyAlignment="1">
      <alignment horizontal="left" wrapText="1"/>
    </xf>
    <xf numFmtId="0" fontId="38" fillId="34" borderId="0" xfId="0" applyFont="1" applyFill="1" applyAlignment="1">
      <alignment vertical="center"/>
    </xf>
    <xf numFmtId="0" fontId="2" fillId="34" borderId="23"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0" fontId="2" fillId="34" borderId="0" xfId="0" applyFont="1" applyFill="1" applyAlignment="1">
      <alignment horizontal="center"/>
    </xf>
    <xf numFmtId="0" fontId="2" fillId="34" borderId="24" xfId="0" applyFont="1" applyFill="1" applyBorder="1" applyAlignment="1">
      <alignment horizontal="left" wrapText="1"/>
    </xf>
    <xf numFmtId="4" fontId="2" fillId="34" borderId="0" xfId="0" applyNumberFormat="1" applyFont="1" applyFill="1" applyAlignment="1">
      <alignment/>
    </xf>
    <xf numFmtId="0" fontId="2" fillId="34" borderId="25" xfId="0" applyFont="1" applyFill="1" applyBorder="1" applyAlignment="1">
      <alignment horizontal="left" wrapText="1"/>
    </xf>
    <xf numFmtId="40" fontId="2" fillId="36" borderId="19" xfId="0" applyNumberFormat="1" applyFont="1" applyFill="1" applyBorder="1" applyAlignment="1">
      <alignment/>
    </xf>
    <xf numFmtId="4" fontId="38" fillId="34" borderId="26" xfId="0" applyNumberFormat="1" applyFont="1" applyFill="1" applyBorder="1" applyAlignment="1">
      <alignment horizontal="center" vertical="center" wrapText="1"/>
    </xf>
    <xf numFmtId="0" fontId="2" fillId="34" borderId="13" xfId="0" applyNumberFormat="1" applyFont="1" applyFill="1" applyBorder="1" applyAlignment="1">
      <alignment horizontal="center"/>
    </xf>
    <xf numFmtId="49" fontId="2" fillId="34" borderId="20" xfId="0" applyNumberFormat="1" applyFont="1" applyFill="1" applyBorder="1" applyAlignment="1">
      <alignment horizontal="center"/>
    </xf>
    <xf numFmtId="0" fontId="30" fillId="34" borderId="20" xfId="0" applyFont="1" applyFill="1" applyBorder="1" applyAlignment="1">
      <alignment horizontal="center"/>
    </xf>
    <xf numFmtId="0" fontId="2" fillId="34" borderId="15" xfId="0" applyFont="1" applyFill="1" applyBorder="1" applyAlignment="1">
      <alignment horizontal="center"/>
    </xf>
    <xf numFmtId="4" fontId="29" fillId="34" borderId="0" xfId="0" applyNumberFormat="1" applyFont="1" applyFill="1" applyAlignment="1">
      <alignment/>
    </xf>
    <xf numFmtId="0" fontId="2" fillId="34" borderId="27" xfId="0" applyFont="1" applyFill="1" applyBorder="1" applyAlignment="1">
      <alignment horizontal="left" wrapText="1"/>
    </xf>
    <xf numFmtId="0" fontId="2" fillId="34" borderId="22" xfId="0" applyFont="1" applyFill="1" applyBorder="1" applyAlignment="1">
      <alignment wrapText="1"/>
    </xf>
    <xf numFmtId="0" fontId="30" fillId="34" borderId="22" xfId="0" applyFont="1" applyFill="1" applyBorder="1" applyAlignment="1">
      <alignment horizontal="left" wrapText="1"/>
    </xf>
    <xf numFmtId="0" fontId="30" fillId="34" borderId="18" xfId="0" applyFont="1" applyFill="1" applyBorder="1" applyAlignment="1">
      <alignment horizontal="left" wrapText="1"/>
    </xf>
    <xf numFmtId="4" fontId="38" fillId="34" borderId="28" xfId="0" applyNumberFormat="1" applyFont="1" applyFill="1" applyBorder="1" applyAlignment="1">
      <alignment horizontal="center" vertical="center"/>
    </xf>
    <xf numFmtId="4" fontId="40" fillId="34" borderId="28" xfId="0" applyNumberFormat="1" applyFont="1" applyFill="1" applyBorder="1" applyAlignment="1">
      <alignment horizontal="center" vertical="center"/>
    </xf>
    <xf numFmtId="4" fontId="40" fillId="34" borderId="29" xfId="0" applyNumberFormat="1" applyFont="1" applyFill="1" applyBorder="1" applyAlignment="1">
      <alignment horizontal="center" vertical="center" wrapText="1"/>
    </xf>
    <xf numFmtId="4" fontId="2" fillId="34" borderId="30" xfId="0" applyNumberFormat="1" applyFont="1" applyFill="1" applyBorder="1" applyAlignment="1">
      <alignment/>
    </xf>
    <xf numFmtId="40" fontId="2" fillId="0" borderId="19" xfId="0" applyNumberFormat="1" applyFont="1" applyBorder="1" applyAlignment="1">
      <alignment/>
    </xf>
    <xf numFmtId="39" fontId="39" fillId="34" borderId="19" xfId="0" applyNumberFormat="1" applyFont="1" applyFill="1" applyBorder="1" applyAlignment="1">
      <alignment horizontal="right"/>
    </xf>
    <xf numFmtId="0" fontId="82" fillId="34" borderId="0" xfId="0" applyFont="1" applyFill="1" applyAlignment="1">
      <alignment horizontal="center"/>
    </xf>
    <xf numFmtId="191" fontId="82"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31"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xf numFmtId="4" fontId="40" fillId="34" borderId="33" xfId="0" applyNumberFormat="1" applyFont="1" applyFill="1" applyBorder="1" applyAlignment="1">
      <alignment horizontal="center" vertical="center"/>
    </xf>
    <xf numFmtId="40" fontId="2" fillId="34" borderId="34" xfId="0" applyNumberFormat="1" applyFont="1" applyFill="1" applyBorder="1" applyAlignment="1">
      <alignment/>
    </xf>
    <xf numFmtId="40" fontId="2" fillId="34" borderId="35" xfId="0" applyNumberFormat="1" applyFont="1" applyFill="1" applyBorder="1" applyAlignment="1">
      <alignment/>
    </xf>
    <xf numFmtId="40" fontId="2" fillId="34" borderId="36" xfId="0" applyNumberFormat="1" applyFont="1" applyFill="1" applyBorder="1" applyAlignment="1">
      <alignment/>
    </xf>
    <xf numFmtId="40" fontId="2" fillId="34" borderId="37" xfId="0" applyNumberFormat="1" applyFont="1" applyFill="1" applyBorder="1" applyAlignment="1">
      <alignment/>
    </xf>
    <xf numFmtId="4" fontId="2" fillId="34" borderId="38" xfId="0" applyNumberFormat="1" applyFont="1" applyFill="1" applyBorder="1" applyAlignment="1">
      <alignment/>
    </xf>
    <xf numFmtId="4" fontId="2" fillId="34" borderId="39" xfId="0" applyNumberFormat="1"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17</xdr:row>
      <xdr:rowOff>95250</xdr:rowOff>
    </xdr:to>
    <xdr:pic>
      <xdr:nvPicPr>
        <xdr:cNvPr id="1" name="Imagen 1"/>
        <xdr:cNvPicPr preferRelativeResize="1">
          <a:picLocks noChangeAspect="1"/>
        </xdr:cNvPicPr>
      </xdr:nvPicPr>
      <xdr:blipFill>
        <a:blip r:embed="rId1"/>
        <a:stretch>
          <a:fillRect/>
        </a:stretch>
      </xdr:blipFill>
      <xdr:spPr>
        <a:xfrm>
          <a:off x="2990850" y="2895600"/>
          <a:ext cx="0" cy="771525"/>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21062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1921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76" t="s">
        <v>314</v>
      </c>
      <c r="C1" s="276"/>
      <c r="D1" s="276"/>
      <c r="E1" s="276"/>
      <c r="F1" s="276"/>
      <c r="G1" s="276"/>
      <c r="H1" s="276"/>
      <c r="I1" s="209"/>
      <c r="J1" s="144"/>
    </row>
    <row r="2" spans="2:10" ht="15.75" hidden="1">
      <c r="B2" s="208"/>
      <c r="C2" s="208"/>
      <c r="F2" s="209"/>
      <c r="G2" s="209"/>
      <c r="H2" s="209"/>
      <c r="I2" s="209"/>
      <c r="J2" s="144"/>
    </row>
    <row r="3" spans="2:11" ht="15.75" hidden="1">
      <c r="B3" s="276" t="s">
        <v>189</v>
      </c>
      <c r="C3" s="276"/>
      <c r="D3" s="276"/>
      <c r="E3" s="276"/>
      <c r="F3" s="276"/>
      <c r="G3" s="276"/>
      <c r="H3" s="276"/>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77" t="s">
        <v>274</v>
      </c>
      <c r="F10" s="277"/>
      <c r="G10" s="277"/>
      <c r="H10" s="277"/>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78" t="s">
        <v>314</v>
      </c>
      <c r="C1" s="278"/>
      <c r="D1" s="278"/>
      <c r="E1" s="278"/>
      <c r="F1" s="278"/>
      <c r="G1" s="278"/>
      <c r="H1" s="278"/>
      <c r="I1" s="192"/>
      <c r="J1" s="212"/>
    </row>
    <row r="2" spans="2:10" ht="15.75">
      <c r="B2" s="228"/>
      <c r="C2" s="228"/>
      <c r="F2" s="229"/>
      <c r="G2" s="229"/>
      <c r="H2" s="229"/>
      <c r="I2" s="192"/>
      <c r="J2" s="212"/>
    </row>
    <row r="3" spans="2:11" ht="15.75">
      <c r="B3" s="279" t="s">
        <v>324</v>
      </c>
      <c r="C3" s="279"/>
      <c r="D3" s="279"/>
      <c r="E3" s="279"/>
      <c r="F3" s="279"/>
      <c r="G3" s="279"/>
      <c r="H3" s="279"/>
      <c r="I3" s="192"/>
      <c r="J3" s="212"/>
      <c r="K3" s="212"/>
    </row>
    <row r="4" spans="2:11" ht="11.25" customHeight="1">
      <c r="B4" s="228"/>
      <c r="C4" s="228"/>
      <c r="F4" s="229"/>
      <c r="G4" s="229"/>
      <c r="H4" s="229"/>
      <c r="I4" s="192"/>
      <c r="J4" s="229"/>
      <c r="K4" s="229"/>
    </row>
    <row r="5" spans="1:10" ht="15.75">
      <c r="A5" s="278" t="s">
        <v>315</v>
      </c>
      <c r="B5" s="278"/>
      <c r="C5" s="278"/>
      <c r="D5" s="278"/>
      <c r="E5" s="278"/>
      <c r="F5" s="278"/>
      <c r="G5" s="278"/>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80" t="s">
        <v>276</v>
      </c>
      <c r="F10" s="280"/>
      <c r="G10" s="280"/>
      <c r="H10" s="280"/>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81"/>
      <c r="E170" s="281"/>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81"/>
      <c r="E180" s="281"/>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08"/>
  <sheetViews>
    <sheetView tabSelected="1" zoomScale="112" zoomScaleNormal="112" zoomScalePageLayoutView="0" workbookViewId="0" topLeftCell="A1">
      <selection activeCell="H8" sqref="H8"/>
    </sheetView>
  </sheetViews>
  <sheetFormatPr defaultColWidth="9.140625" defaultRowHeight="12.75"/>
  <cols>
    <col min="1" max="1" width="8.57421875" style="123" customWidth="1"/>
    <col min="2" max="2" width="36.28125" style="125" customWidth="1"/>
    <col min="3" max="10" width="11.7109375" style="119" customWidth="1"/>
    <col min="11" max="11" width="12.140625" style="119" bestFit="1" customWidth="1"/>
    <col min="12" max="12" width="11.421875" style="119" bestFit="1" customWidth="1"/>
    <col min="13" max="13" width="10.8515625" style="119" bestFit="1" customWidth="1"/>
    <col min="14" max="14" width="12.28125" style="119" customWidth="1"/>
    <col min="15" max="15" width="11.00390625" style="119" customWidth="1"/>
    <col min="16" max="16384" width="9.140625" style="119" customWidth="1"/>
  </cols>
  <sheetData>
    <row r="1" spans="1:10" ht="15">
      <c r="A1" s="253" t="s">
        <v>364</v>
      </c>
      <c r="B1" s="253"/>
      <c r="C1" s="253"/>
      <c r="D1" s="253"/>
      <c r="E1" s="253"/>
      <c r="F1" s="253"/>
      <c r="G1" s="253"/>
      <c r="H1" s="253"/>
      <c r="I1" s="253"/>
      <c r="J1" s="253"/>
    </row>
    <row r="2" spans="1:3" ht="15">
      <c r="A2" s="282" t="s">
        <v>356</v>
      </c>
      <c r="B2" s="282"/>
      <c r="C2" s="282"/>
    </row>
    <row r="3" spans="1:2" ht="15">
      <c r="A3" s="253" t="s">
        <v>357</v>
      </c>
      <c r="B3" s="253"/>
    </row>
    <row r="4" spans="1:3" ht="15">
      <c r="A4" s="282" t="s">
        <v>362</v>
      </c>
      <c r="B4" s="282"/>
      <c r="C4" s="282"/>
    </row>
    <row r="5" spans="1:10" ht="15">
      <c r="A5" s="253" t="s">
        <v>358</v>
      </c>
      <c r="B5" s="253"/>
      <c r="C5" s="253"/>
      <c r="D5" s="253"/>
      <c r="E5" s="253"/>
      <c r="F5" s="253"/>
      <c r="G5" s="253"/>
      <c r="H5" s="253"/>
      <c r="I5" s="253"/>
      <c r="J5" s="253"/>
    </row>
    <row r="6" spans="1:10" ht="15">
      <c r="A6" s="253" t="s">
        <v>370</v>
      </c>
      <c r="B6" s="253"/>
      <c r="C6" s="253"/>
      <c r="D6" s="253"/>
      <c r="E6" s="253"/>
      <c r="F6" s="253"/>
      <c r="G6" s="253"/>
      <c r="H6" s="253"/>
      <c r="I6" s="253"/>
      <c r="J6" s="253"/>
    </row>
    <row r="7" spans="1:10" ht="15">
      <c r="A7" s="254" t="s">
        <v>393</v>
      </c>
      <c r="B7" s="254"/>
      <c r="C7" s="254"/>
      <c r="D7" s="254"/>
      <c r="E7" s="254"/>
      <c r="F7" s="254"/>
      <c r="G7" s="254"/>
      <c r="H7" s="254"/>
      <c r="I7" s="254"/>
      <c r="J7" s="254"/>
    </row>
    <row r="8" spans="1:3" ht="15">
      <c r="A8" s="282" t="s">
        <v>395</v>
      </c>
      <c r="B8" s="282"/>
      <c r="C8" s="282"/>
    </row>
    <row r="9" spans="1:2" ht="15">
      <c r="A9" s="282"/>
      <c r="B9" s="282"/>
    </row>
    <row r="10" spans="1:3" ht="15">
      <c r="A10" s="282" t="s">
        <v>359</v>
      </c>
      <c r="B10" s="282"/>
      <c r="C10" s="282"/>
    </row>
    <row r="11" spans="1:3" ht="15.75" customHeight="1">
      <c r="A11" s="282" t="s">
        <v>360</v>
      </c>
      <c r="B11" s="282"/>
      <c r="C11" s="282"/>
    </row>
    <row r="12" spans="1:3" ht="15.75" customHeight="1">
      <c r="A12" s="282" t="s">
        <v>361</v>
      </c>
      <c r="B12" s="282"/>
      <c r="C12" s="282"/>
    </row>
    <row r="13" spans="1:2" ht="15.75" customHeight="1">
      <c r="A13" s="246"/>
      <c r="B13" s="246"/>
    </row>
    <row r="14" spans="1:3" ht="15.75" customHeight="1">
      <c r="A14" s="282" t="s">
        <v>366</v>
      </c>
      <c r="B14" s="282"/>
      <c r="C14" s="282"/>
    </row>
    <row r="15" spans="1:3" ht="15.75" customHeight="1">
      <c r="A15" s="282" t="s">
        <v>363</v>
      </c>
      <c r="B15" s="282"/>
      <c r="C15" s="282"/>
    </row>
    <row r="16" spans="1:2" ht="24.75" thickBot="1">
      <c r="A16" s="244"/>
      <c r="B16" s="247" t="s">
        <v>392</v>
      </c>
    </row>
    <row r="17" spans="1:15" ht="27.75" thickBot="1">
      <c r="A17" s="251"/>
      <c r="B17" s="260" t="s">
        <v>2</v>
      </c>
      <c r="C17" s="270" t="s">
        <v>270</v>
      </c>
      <c r="D17" s="270" t="s">
        <v>271</v>
      </c>
      <c r="E17" s="270" t="s">
        <v>272</v>
      </c>
      <c r="F17" s="270" t="s">
        <v>273</v>
      </c>
      <c r="G17" s="270" t="s">
        <v>274</v>
      </c>
      <c r="H17" s="270" t="s">
        <v>275</v>
      </c>
      <c r="I17" s="270" t="s">
        <v>276</v>
      </c>
      <c r="J17" s="270" t="s">
        <v>213</v>
      </c>
      <c r="K17" s="270" t="s">
        <v>263</v>
      </c>
      <c r="L17" s="271" t="s">
        <v>277</v>
      </c>
      <c r="M17" s="271" t="s">
        <v>278</v>
      </c>
      <c r="N17" s="302" t="s">
        <v>279</v>
      </c>
      <c r="O17" s="272" t="s">
        <v>394</v>
      </c>
    </row>
    <row r="18" spans="1:15" ht="21.75" customHeight="1">
      <c r="A18" s="261">
        <v>0</v>
      </c>
      <c r="B18" s="266" t="s">
        <v>282</v>
      </c>
      <c r="C18" s="124"/>
      <c r="D18" s="124"/>
      <c r="E18" s="124"/>
      <c r="F18" s="124"/>
      <c r="G18" s="124"/>
      <c r="H18" s="124"/>
      <c r="I18" s="124"/>
      <c r="J18" s="124"/>
      <c r="K18" s="124"/>
      <c r="L18" s="124"/>
      <c r="M18" s="124"/>
      <c r="N18" s="303"/>
      <c r="O18" s="273"/>
    </row>
    <row r="19" spans="1:15" ht="15">
      <c r="A19" s="248">
        <v>11</v>
      </c>
      <c r="B19" s="250" t="s">
        <v>136</v>
      </c>
      <c r="C19" s="124">
        <f>4555.5+3169.5+4555.5+3169.5</f>
        <v>15450</v>
      </c>
      <c r="D19" s="124">
        <f>7725+3169.5+4555.5</f>
        <v>15450</v>
      </c>
      <c r="E19" s="124">
        <f>4555.5+3169.5+7725</f>
        <v>15450</v>
      </c>
      <c r="F19" s="124">
        <f>4555.5+3169.5+4555.5+3169.5</f>
        <v>15450</v>
      </c>
      <c r="G19" s="124">
        <f>7725+7725</f>
        <v>15450</v>
      </c>
      <c r="H19" s="124">
        <f>4555.5+3169.5+4555.5+3169.5</f>
        <v>15450</v>
      </c>
      <c r="I19" s="259">
        <f>4555.5+3169.5+7725</f>
        <v>15450</v>
      </c>
      <c r="J19" s="124">
        <f>7725+7725</f>
        <v>15450</v>
      </c>
      <c r="K19" s="124">
        <f>7725+7725</f>
        <v>15450</v>
      </c>
      <c r="L19" s="124">
        <f>7725+7725</f>
        <v>15450</v>
      </c>
      <c r="M19" s="124">
        <v>7725</v>
      </c>
      <c r="N19" s="303">
        <f>15450+7725</f>
        <v>23175</v>
      </c>
      <c r="O19" s="273">
        <f>SUM(C19:N19)</f>
        <v>185400</v>
      </c>
    </row>
    <row r="20" spans="1:15" ht="23.25" customHeight="1">
      <c r="A20" s="248">
        <v>15</v>
      </c>
      <c r="B20" s="250" t="s">
        <v>202</v>
      </c>
      <c r="C20" s="124">
        <f>125+125+125+125</f>
        <v>500</v>
      </c>
      <c r="D20" s="124">
        <f>250+125+125</f>
        <v>500</v>
      </c>
      <c r="E20" s="124">
        <f>125+125+250</f>
        <v>500</v>
      </c>
      <c r="F20" s="124">
        <f>125+125+125+125</f>
        <v>500</v>
      </c>
      <c r="G20" s="124">
        <f>250+250</f>
        <v>500</v>
      </c>
      <c r="H20" s="124">
        <f>250+250</f>
        <v>500</v>
      </c>
      <c r="I20" s="259">
        <f>125+125+250</f>
        <v>500</v>
      </c>
      <c r="J20" s="124">
        <f>250+250</f>
        <v>500</v>
      </c>
      <c r="K20" s="124">
        <f>250+250</f>
        <v>500</v>
      </c>
      <c r="L20" s="124">
        <f>250+250</f>
        <v>500</v>
      </c>
      <c r="M20" s="124">
        <v>250</v>
      </c>
      <c r="N20" s="303">
        <f>250+500</f>
        <v>750</v>
      </c>
      <c r="O20" s="273">
        <f aca="true" t="shared" si="0" ref="O20:O83">SUM(C20:N20)</f>
        <v>6000</v>
      </c>
    </row>
    <row r="21" spans="1:15" ht="23.25" customHeight="1">
      <c r="A21" s="248">
        <v>22</v>
      </c>
      <c r="B21" s="250" t="s">
        <v>333</v>
      </c>
      <c r="C21" s="124">
        <f>2375+2375</f>
        <v>4750</v>
      </c>
      <c r="D21" s="124">
        <f>2515+2375+4890</f>
        <v>9780</v>
      </c>
      <c r="E21" s="124">
        <f>2515+2375+4890</f>
        <v>9780</v>
      </c>
      <c r="F21" s="124">
        <f>2515+2375+2375+2515</f>
        <v>9780</v>
      </c>
      <c r="G21" s="124">
        <f>4890+4890</f>
        <v>9780</v>
      </c>
      <c r="H21" s="124">
        <f>2515+2375+2375+2515</f>
        <v>9780</v>
      </c>
      <c r="I21" s="259">
        <f>2515+2375+2375+2515</f>
        <v>9780</v>
      </c>
      <c r="J21" s="124">
        <f>4890+2375+2515</f>
        <v>9780</v>
      </c>
      <c r="K21" s="124">
        <f>4890+4890</f>
        <v>9780</v>
      </c>
      <c r="L21" s="124">
        <f>2515+2375+4890</f>
        <v>9780</v>
      </c>
      <c r="M21" s="124">
        <v>4890</v>
      </c>
      <c r="N21" s="303">
        <f>9780+4890</f>
        <v>14670</v>
      </c>
      <c r="O21" s="273">
        <f t="shared" si="0"/>
        <v>112330</v>
      </c>
    </row>
    <row r="22" spans="1:15" ht="23.25" customHeight="1">
      <c r="A22" s="248">
        <v>27</v>
      </c>
      <c r="B22" s="250" t="s">
        <v>325</v>
      </c>
      <c r="C22" s="124">
        <f>125+125</f>
        <v>250</v>
      </c>
      <c r="D22" s="124">
        <f>125+125+250</f>
        <v>500</v>
      </c>
      <c r="E22" s="124">
        <f>125+125+250</f>
        <v>500</v>
      </c>
      <c r="F22" s="124">
        <f>125+125+125+125</f>
        <v>500</v>
      </c>
      <c r="G22" s="124">
        <f>250+250</f>
        <v>500</v>
      </c>
      <c r="H22" s="124">
        <f>250+250</f>
        <v>500</v>
      </c>
      <c r="I22" s="259">
        <f>125+125+125+125</f>
        <v>500</v>
      </c>
      <c r="J22" s="124">
        <f>250+125+125</f>
        <v>500</v>
      </c>
      <c r="K22" s="124">
        <f>250+250</f>
        <v>500</v>
      </c>
      <c r="L22" s="124">
        <f>250+250</f>
        <v>500</v>
      </c>
      <c r="M22" s="124">
        <v>250</v>
      </c>
      <c r="N22" s="303">
        <f>250+500</f>
        <v>750</v>
      </c>
      <c r="O22" s="273">
        <f t="shared" si="0"/>
        <v>5750</v>
      </c>
    </row>
    <row r="23" spans="1:15" ht="15" customHeight="1">
      <c r="A23" s="248">
        <v>51</v>
      </c>
      <c r="B23" s="250" t="s">
        <v>137</v>
      </c>
      <c r="C23" s="124">
        <v>3373.35</v>
      </c>
      <c r="D23" s="124">
        <v>2155.34</v>
      </c>
      <c r="E23" s="124">
        <v>2692.04</v>
      </c>
      <c r="F23" s="124">
        <v>2692.04</v>
      </c>
      <c r="G23" s="124">
        <v>2692.04</v>
      </c>
      <c r="H23" s="124">
        <v>2692.04</v>
      </c>
      <c r="I23" s="124">
        <v>2692.04</v>
      </c>
      <c r="J23" s="124">
        <v>2692.04</v>
      </c>
      <c r="K23" s="124">
        <v>2692.04</v>
      </c>
      <c r="L23" s="124">
        <v>2692.04</v>
      </c>
      <c r="M23" s="124">
        <v>2692.04</v>
      </c>
      <c r="N23" s="303">
        <v>2692.04</v>
      </c>
      <c r="O23" s="273">
        <f t="shared" si="0"/>
        <v>32449.090000000007</v>
      </c>
    </row>
    <row r="24" spans="1:15" ht="15">
      <c r="A24" s="248">
        <v>61</v>
      </c>
      <c r="B24" s="250" t="s">
        <v>317</v>
      </c>
      <c r="C24" s="124">
        <f>7600+17080</f>
        <v>24680</v>
      </c>
      <c r="D24" s="124">
        <v>24680</v>
      </c>
      <c r="E24" s="124">
        <v>24680</v>
      </c>
      <c r="F24" s="124">
        <v>24680</v>
      </c>
      <c r="G24" s="124">
        <f>10800+13880</f>
        <v>24680</v>
      </c>
      <c r="H24" s="124">
        <v>24680</v>
      </c>
      <c r="I24" s="259">
        <v>24680</v>
      </c>
      <c r="J24" s="124">
        <v>24680</v>
      </c>
      <c r="K24" s="124">
        <f>19280+5400</f>
        <v>24680</v>
      </c>
      <c r="L24" s="124">
        <f>19280+5400</f>
        <v>24680</v>
      </c>
      <c r="M24" s="124"/>
      <c r="N24" s="303">
        <f>24680+24680</f>
        <v>49360</v>
      </c>
      <c r="O24" s="273">
        <f t="shared" si="0"/>
        <v>296160</v>
      </c>
    </row>
    <row r="25" spans="1:15" ht="15">
      <c r="A25" s="248">
        <v>63</v>
      </c>
      <c r="B25" s="250" t="s">
        <v>190</v>
      </c>
      <c r="C25" s="124">
        <v>9000</v>
      </c>
      <c r="D25" s="124">
        <v>9000</v>
      </c>
      <c r="E25" s="124">
        <v>9000</v>
      </c>
      <c r="F25" s="124">
        <v>9000</v>
      </c>
      <c r="G25" s="124">
        <v>9000</v>
      </c>
      <c r="H25" s="124">
        <v>9000</v>
      </c>
      <c r="I25" s="259">
        <v>9000</v>
      </c>
      <c r="J25" s="124">
        <v>9000</v>
      </c>
      <c r="K25" s="124">
        <v>9000</v>
      </c>
      <c r="L25" s="124">
        <v>9000</v>
      </c>
      <c r="M25" s="124"/>
      <c r="N25" s="303">
        <f>9000+9000</f>
        <v>18000</v>
      </c>
      <c r="O25" s="273">
        <f t="shared" si="0"/>
        <v>108000</v>
      </c>
    </row>
    <row r="26" spans="1:15" ht="15">
      <c r="A26" s="248" t="s">
        <v>181</v>
      </c>
      <c r="B26" s="250" t="s">
        <v>138</v>
      </c>
      <c r="C26" s="124">
        <f>4555.5+3169.5+1211.57+3438.69+2525.34</f>
        <v>14900.6</v>
      </c>
      <c r="D26" s="124"/>
      <c r="E26" s="124"/>
      <c r="F26" s="124"/>
      <c r="G26" s="124"/>
      <c r="H26" s="124"/>
      <c r="I26" s="124"/>
      <c r="J26" s="124"/>
      <c r="K26" s="124"/>
      <c r="L26" s="124"/>
      <c r="M26" s="124"/>
      <c r="N26" s="303">
        <f>403.42+427.2+8522.17+15450</f>
        <v>24802.79</v>
      </c>
      <c r="O26" s="273">
        <f t="shared" si="0"/>
        <v>39703.39</v>
      </c>
    </row>
    <row r="27" spans="1:15" ht="15">
      <c r="A27" s="248">
        <v>72</v>
      </c>
      <c r="B27" s="250" t="s">
        <v>139</v>
      </c>
      <c r="C27" s="124">
        <f>2394.52+2535.67+3195.55</f>
        <v>8125.740000000001</v>
      </c>
      <c r="D27" s="124"/>
      <c r="E27" s="124"/>
      <c r="F27" s="124"/>
      <c r="G27" s="124"/>
      <c r="H27" s="124"/>
      <c r="I27" s="259">
        <v>19872.6</v>
      </c>
      <c r="J27" s="124"/>
      <c r="K27" s="124"/>
      <c r="L27" s="124"/>
      <c r="M27" s="124"/>
      <c r="N27" s="303">
        <f>2394.52+2535.67</f>
        <v>4930.1900000000005</v>
      </c>
      <c r="O27" s="273">
        <f t="shared" si="0"/>
        <v>32928.53</v>
      </c>
    </row>
    <row r="28" spans="1:15" ht="15" customHeight="1">
      <c r="A28" s="262" t="s">
        <v>208</v>
      </c>
      <c r="B28" s="250" t="s">
        <v>140</v>
      </c>
      <c r="C28" s="124"/>
      <c r="D28" s="124"/>
      <c r="E28" s="124">
        <v>7800</v>
      </c>
      <c r="F28" s="124"/>
      <c r="G28" s="124"/>
      <c r="H28" s="124"/>
      <c r="I28" s="124">
        <v>8500</v>
      </c>
      <c r="J28" s="124"/>
      <c r="K28" s="124"/>
      <c r="L28" s="124"/>
      <c r="M28" s="124"/>
      <c r="N28" s="303">
        <f>2600+5200+1500+9600</f>
        <v>18900</v>
      </c>
      <c r="O28" s="273">
        <f t="shared" si="0"/>
        <v>35200</v>
      </c>
    </row>
    <row r="29" spans="1:15" ht="15.75" customHeight="1">
      <c r="A29" s="248" t="s">
        <v>182</v>
      </c>
      <c r="B29" s="250" t="s">
        <v>283</v>
      </c>
      <c r="C29" s="124"/>
      <c r="D29" s="124"/>
      <c r="E29" s="124"/>
      <c r="F29" s="124"/>
      <c r="G29" s="124"/>
      <c r="H29" s="124"/>
      <c r="I29" s="124"/>
      <c r="J29" s="124"/>
      <c r="K29" s="124"/>
      <c r="L29" s="124"/>
      <c r="M29" s="124"/>
      <c r="N29" s="303"/>
      <c r="O29" s="273">
        <f t="shared" si="0"/>
        <v>0</v>
      </c>
    </row>
    <row r="30" spans="1:15" ht="15">
      <c r="A30" s="248">
        <v>111</v>
      </c>
      <c r="B30" s="250" t="s">
        <v>141</v>
      </c>
      <c r="C30" s="124"/>
      <c r="D30" s="124">
        <v>561.46</v>
      </c>
      <c r="E30" s="124"/>
      <c r="F30" s="124">
        <v>599.61</v>
      </c>
      <c r="G30" s="124"/>
      <c r="H30" s="124">
        <v>311.47</v>
      </c>
      <c r="I30" s="124">
        <v>283.85</v>
      </c>
      <c r="J30" s="124">
        <v>631.62</v>
      </c>
      <c r="K30" s="124">
        <v>353.9</v>
      </c>
      <c r="L30" s="124">
        <v>383.35</v>
      </c>
      <c r="M30" s="124"/>
      <c r="N30" s="303">
        <f>326.17+327.91</f>
        <v>654.08</v>
      </c>
      <c r="O30" s="273">
        <f t="shared" si="0"/>
        <v>3779.34</v>
      </c>
    </row>
    <row r="31" spans="1:15" ht="14.25" customHeight="1">
      <c r="A31" s="248">
        <v>112</v>
      </c>
      <c r="B31" s="250" t="s">
        <v>354</v>
      </c>
      <c r="C31" s="124"/>
      <c r="D31" s="124">
        <v>1958.41</v>
      </c>
      <c r="E31" s="124"/>
      <c r="F31" s="124">
        <v>1316.25</v>
      </c>
      <c r="G31" s="124"/>
      <c r="H31" s="124"/>
      <c r="I31" s="124">
        <v>1276.41</v>
      </c>
      <c r="J31" s="124">
        <v>479.91</v>
      </c>
      <c r="K31" s="124">
        <v>365.98</v>
      </c>
      <c r="L31" s="124">
        <v>352.7</v>
      </c>
      <c r="M31" s="124"/>
      <c r="N31" s="303">
        <f>190.42+159.14</f>
        <v>349.55999999999995</v>
      </c>
      <c r="O31" s="273">
        <f t="shared" si="0"/>
        <v>6099.219999999999</v>
      </c>
    </row>
    <row r="32" spans="1:15" ht="12.75" customHeight="1">
      <c r="A32" s="248">
        <v>113</v>
      </c>
      <c r="B32" s="250" t="s">
        <v>183</v>
      </c>
      <c r="C32" s="124"/>
      <c r="D32" s="124">
        <f>300+1403.48</f>
        <v>1703.48</v>
      </c>
      <c r="E32" s="124">
        <f>100+300</f>
        <v>400</v>
      </c>
      <c r="F32" s="124">
        <f>438.76+955.42</f>
        <v>1394.1799999999998</v>
      </c>
      <c r="G32" s="124">
        <v>300</v>
      </c>
      <c r="H32" s="124">
        <f>1075.72+300</f>
        <v>1375.72</v>
      </c>
      <c r="I32" s="124">
        <v>840.9</v>
      </c>
      <c r="J32" s="124">
        <v>854.22</v>
      </c>
      <c r="K32" s="124">
        <v>853.91</v>
      </c>
      <c r="L32" s="124">
        <f>100+2250+830.92</f>
        <v>3180.92</v>
      </c>
      <c r="M32" s="124"/>
      <c r="N32" s="303">
        <f>300+1380.32</f>
        <v>1680.32</v>
      </c>
      <c r="O32" s="273">
        <f t="shared" si="0"/>
        <v>12583.65</v>
      </c>
    </row>
    <row r="33" spans="1:15" ht="15">
      <c r="A33" s="248">
        <v>114</v>
      </c>
      <c r="B33" s="250" t="s">
        <v>200</v>
      </c>
      <c r="C33" s="124"/>
      <c r="D33" s="124"/>
      <c r="E33" s="124"/>
      <c r="F33" s="124"/>
      <c r="G33" s="124"/>
      <c r="H33" s="124"/>
      <c r="I33" s="259">
        <v>36.5</v>
      </c>
      <c r="J33" s="124">
        <v>36.5</v>
      </c>
      <c r="K33" s="124"/>
      <c r="L33" s="124"/>
      <c r="M33" s="124"/>
      <c r="N33" s="303">
        <v>87</v>
      </c>
      <c r="O33" s="273">
        <f t="shared" si="0"/>
        <v>160</v>
      </c>
    </row>
    <row r="34" spans="1:15" ht="23.25" customHeight="1">
      <c r="A34" s="248">
        <v>115</v>
      </c>
      <c r="B34" s="250" t="s">
        <v>353</v>
      </c>
      <c r="C34" s="124"/>
      <c r="D34" s="124">
        <f>50+50</f>
        <v>100</v>
      </c>
      <c r="E34" s="124">
        <v>50</v>
      </c>
      <c r="F34" s="124">
        <v>50</v>
      </c>
      <c r="G34" s="124">
        <v>50</v>
      </c>
      <c r="H34" s="124">
        <v>50</v>
      </c>
      <c r="I34" s="124">
        <v>50</v>
      </c>
      <c r="J34" s="124">
        <v>50</v>
      </c>
      <c r="K34" s="124">
        <v>50</v>
      </c>
      <c r="L34" s="124">
        <v>50</v>
      </c>
      <c r="M34" s="124"/>
      <c r="N34" s="303">
        <f>50+50</f>
        <v>100</v>
      </c>
      <c r="O34" s="273">
        <f t="shared" si="0"/>
        <v>600</v>
      </c>
    </row>
    <row r="35" spans="1:15" ht="15">
      <c r="A35" s="248">
        <v>121</v>
      </c>
      <c r="B35" s="250" t="s">
        <v>142</v>
      </c>
      <c r="C35" s="124"/>
      <c r="D35" s="124"/>
      <c r="E35" s="124"/>
      <c r="F35" s="124"/>
      <c r="G35" s="124"/>
      <c r="H35" s="124"/>
      <c r="I35" s="124"/>
      <c r="J35" s="124"/>
      <c r="K35" s="124"/>
      <c r="L35" s="124"/>
      <c r="M35" s="124"/>
      <c r="N35" s="303"/>
      <c r="O35" s="273">
        <f t="shared" si="0"/>
        <v>0</v>
      </c>
    </row>
    <row r="36" spans="1:15" ht="15">
      <c r="A36" s="248">
        <v>122</v>
      </c>
      <c r="B36" s="250" t="s">
        <v>371</v>
      </c>
      <c r="C36" s="124"/>
      <c r="D36" s="124"/>
      <c r="E36" s="124"/>
      <c r="F36" s="124"/>
      <c r="G36" s="124"/>
      <c r="H36" s="124"/>
      <c r="I36" s="124"/>
      <c r="J36" s="124"/>
      <c r="K36" s="124"/>
      <c r="L36" s="124"/>
      <c r="M36" s="124"/>
      <c r="N36" s="303"/>
      <c r="O36" s="273">
        <f t="shared" si="0"/>
        <v>0</v>
      </c>
    </row>
    <row r="37" spans="1:15" ht="24.75" customHeight="1">
      <c r="A37" s="248">
        <v>131</v>
      </c>
      <c r="B37" s="250" t="s">
        <v>184</v>
      </c>
      <c r="C37" s="124"/>
      <c r="D37" s="124"/>
      <c r="E37" s="124"/>
      <c r="F37" s="124"/>
      <c r="G37" s="124">
        <v>11000</v>
      </c>
      <c r="H37" s="124">
        <f>157839.36+48702.18</f>
        <v>206541.53999999998</v>
      </c>
      <c r="I37" s="124"/>
      <c r="J37" s="124">
        <f>104832+3600+3066</f>
        <v>111498</v>
      </c>
      <c r="K37" s="124"/>
      <c r="L37" s="124"/>
      <c r="M37" s="124"/>
      <c r="N37" s="303"/>
      <c r="O37" s="273">
        <f t="shared" si="0"/>
        <v>329039.54</v>
      </c>
    </row>
    <row r="38" spans="1:15" ht="15">
      <c r="A38" s="248" t="s">
        <v>143</v>
      </c>
      <c r="B38" s="250" t="s">
        <v>144</v>
      </c>
      <c r="C38" s="124"/>
      <c r="D38" s="124">
        <f>2310+1810</f>
        <v>4120</v>
      </c>
      <c r="E38" s="124">
        <f>6240+4655+544+1170+3431+805</f>
        <v>16845</v>
      </c>
      <c r="F38" s="124">
        <f>546+3080+4425+898</f>
        <v>8949</v>
      </c>
      <c r="G38" s="124">
        <f>510+1035</f>
        <v>1545</v>
      </c>
      <c r="H38" s="124">
        <f>250+2600+2550</f>
        <v>5400</v>
      </c>
      <c r="I38" s="124">
        <f>1155+1100+1350</f>
        <v>3605</v>
      </c>
      <c r="J38" s="124">
        <f>2045+24812.74</f>
        <v>26857.74</v>
      </c>
      <c r="K38" s="124">
        <f>778+2443</f>
        <v>3221</v>
      </c>
      <c r="L38" s="124">
        <f>3668+1500+2700+750</f>
        <v>8618</v>
      </c>
      <c r="M38" s="124">
        <f>2523+2024+398</f>
        <v>4945</v>
      </c>
      <c r="N38" s="303">
        <v>642</v>
      </c>
      <c r="O38" s="273">
        <f t="shared" si="0"/>
        <v>84747.74</v>
      </c>
    </row>
    <row r="39" spans="1:15" ht="15.75" customHeight="1">
      <c r="A39" s="248" t="s">
        <v>145</v>
      </c>
      <c r="B39" s="250" t="s">
        <v>146</v>
      </c>
      <c r="C39" s="124"/>
      <c r="D39" s="124"/>
      <c r="E39" s="124">
        <v>4500</v>
      </c>
      <c r="F39" s="124">
        <v>4800</v>
      </c>
      <c r="G39" s="124"/>
      <c r="H39" s="124"/>
      <c r="I39" s="124">
        <v>5500</v>
      </c>
      <c r="J39" s="124"/>
      <c r="K39" s="124"/>
      <c r="L39" s="124">
        <f>8500+7000</f>
        <v>15500</v>
      </c>
      <c r="M39" s="124">
        <v>7000</v>
      </c>
      <c r="N39" s="303"/>
      <c r="O39" s="273">
        <f t="shared" si="0"/>
        <v>37300</v>
      </c>
    </row>
    <row r="40" spans="1:15" ht="15">
      <c r="A40" s="248">
        <v>151</v>
      </c>
      <c r="B40" s="250" t="s">
        <v>147</v>
      </c>
      <c r="C40" s="124">
        <v>8268.74</v>
      </c>
      <c r="D40" s="274">
        <v>8268.74</v>
      </c>
      <c r="E40" s="124">
        <v>8268.74</v>
      </c>
      <c r="F40" s="124"/>
      <c r="G40" s="124">
        <v>8268.74</v>
      </c>
      <c r="H40" s="124">
        <v>8268.74</v>
      </c>
      <c r="I40" s="124">
        <v>8268.74</v>
      </c>
      <c r="J40" s="124">
        <v>8268.74</v>
      </c>
      <c r="K40" s="124">
        <v>8268.74</v>
      </c>
      <c r="L40" s="124">
        <f>8268.74+4875</f>
        <v>13143.74</v>
      </c>
      <c r="M40" s="124">
        <v>8268.74</v>
      </c>
      <c r="N40" s="303">
        <v>8268.74</v>
      </c>
      <c r="O40" s="273">
        <f t="shared" si="0"/>
        <v>95831.14000000001</v>
      </c>
    </row>
    <row r="41" spans="1:15" s="245" customFormat="1" ht="14.25" customHeight="1">
      <c r="A41" s="248">
        <v>152</v>
      </c>
      <c r="B41" s="250" t="s">
        <v>337</v>
      </c>
      <c r="C41" s="124"/>
      <c r="D41" s="124"/>
      <c r="E41" s="124"/>
      <c r="F41" s="124"/>
      <c r="G41" s="124"/>
      <c r="H41" s="124"/>
      <c r="I41" s="124"/>
      <c r="J41" s="124"/>
      <c r="K41" s="124"/>
      <c r="L41" s="124"/>
      <c r="M41" s="124"/>
      <c r="N41" s="304"/>
      <c r="O41" s="273">
        <f t="shared" si="0"/>
        <v>0</v>
      </c>
    </row>
    <row r="42" spans="1:15" ht="14.25" customHeight="1">
      <c r="A42" s="248">
        <v>153</v>
      </c>
      <c r="B42" s="250" t="s">
        <v>148</v>
      </c>
      <c r="C42" s="124">
        <v>600</v>
      </c>
      <c r="D42" s="124">
        <v>761.64</v>
      </c>
      <c r="E42" s="124">
        <v>600</v>
      </c>
      <c r="F42" s="124">
        <v>738.96</v>
      </c>
      <c r="G42" s="124">
        <v>646.62</v>
      </c>
      <c r="H42" s="124">
        <v>653.82</v>
      </c>
      <c r="I42" s="124">
        <v>600</v>
      </c>
      <c r="J42" s="124">
        <v>600</v>
      </c>
      <c r="K42" s="124">
        <v>828.78</v>
      </c>
      <c r="L42" s="124">
        <v>600</v>
      </c>
      <c r="M42" s="124">
        <v>758.04</v>
      </c>
      <c r="N42" s="304">
        <v>600</v>
      </c>
      <c r="O42" s="273">
        <f t="shared" si="0"/>
        <v>7987.86</v>
      </c>
    </row>
    <row r="43" spans="1:15" ht="15">
      <c r="A43" s="248">
        <v>155</v>
      </c>
      <c r="B43" s="250" t="s">
        <v>149</v>
      </c>
      <c r="C43" s="124">
        <v>21900</v>
      </c>
      <c r="D43" s="124">
        <f>21900+1460</f>
        <v>23360</v>
      </c>
      <c r="E43" s="124">
        <f>2550+11400</f>
        <v>13950</v>
      </c>
      <c r="F43" s="274">
        <f>8268.74+900+1700+1500+1460+4000</f>
        <v>17828.739999999998</v>
      </c>
      <c r="G43" s="274">
        <f>3750+2100+4600</f>
        <v>10450</v>
      </c>
      <c r="H43" s="124">
        <f>15311.52+1100+9988.48</f>
        <v>26400</v>
      </c>
      <c r="I43" s="124">
        <v>3300</v>
      </c>
      <c r="J43" s="124">
        <f>8080+1500+3800</f>
        <v>13380</v>
      </c>
      <c r="K43" s="124">
        <v>350</v>
      </c>
      <c r="L43" s="124">
        <v>4950</v>
      </c>
      <c r="M43" s="124"/>
      <c r="N43" s="303">
        <f>3500+10500+3400+3053</f>
        <v>20453</v>
      </c>
      <c r="O43" s="273">
        <f t="shared" si="0"/>
        <v>156321.74</v>
      </c>
    </row>
    <row r="44" spans="1:15" ht="22.5" customHeight="1">
      <c r="A44" s="248">
        <v>161</v>
      </c>
      <c r="B44" s="250" t="s">
        <v>185</v>
      </c>
      <c r="C44" s="124"/>
      <c r="D44" s="124"/>
      <c r="E44" s="124"/>
      <c r="F44" s="124"/>
      <c r="G44" s="124"/>
      <c r="H44" s="124"/>
      <c r="I44" s="124"/>
      <c r="J44" s="124"/>
      <c r="K44" s="124"/>
      <c r="L44" s="124"/>
      <c r="M44" s="124"/>
      <c r="N44" s="303"/>
      <c r="O44" s="273">
        <f t="shared" si="0"/>
        <v>0</v>
      </c>
    </row>
    <row r="45" spans="1:15" ht="15">
      <c r="A45" s="248">
        <v>164</v>
      </c>
      <c r="B45" s="250" t="s">
        <v>195</v>
      </c>
      <c r="C45" s="124">
        <v>4450</v>
      </c>
      <c r="D45" s="124"/>
      <c r="E45" s="124">
        <v>900</v>
      </c>
      <c r="F45" s="124">
        <f>2250+5700</f>
        <v>7950</v>
      </c>
      <c r="G45" s="124"/>
      <c r="H45" s="124"/>
      <c r="I45" s="124"/>
      <c r="J45" s="124"/>
      <c r="K45" s="124"/>
      <c r="L45" s="124">
        <v>4025</v>
      </c>
      <c r="M45" s="124"/>
      <c r="N45" s="303">
        <f>3350+5520</f>
        <v>8870</v>
      </c>
      <c r="O45" s="273">
        <f t="shared" si="0"/>
        <v>26195</v>
      </c>
    </row>
    <row r="46" spans="1:15" ht="23.25" customHeight="1">
      <c r="A46" s="248" t="s">
        <v>150</v>
      </c>
      <c r="B46" s="250" t="s">
        <v>151</v>
      </c>
      <c r="C46" s="124"/>
      <c r="D46" s="124"/>
      <c r="E46" s="124"/>
      <c r="F46" s="124"/>
      <c r="G46" s="124"/>
      <c r="H46" s="124"/>
      <c r="I46" s="124"/>
      <c r="J46" s="124"/>
      <c r="K46" s="124"/>
      <c r="L46" s="124"/>
      <c r="M46" s="124"/>
      <c r="N46" s="303"/>
      <c r="O46" s="273">
        <f t="shared" si="0"/>
        <v>0</v>
      </c>
    </row>
    <row r="47" spans="1:15" ht="22.5" customHeight="1">
      <c r="A47" s="248">
        <v>169</v>
      </c>
      <c r="B47" s="250" t="s">
        <v>367</v>
      </c>
      <c r="C47" s="124"/>
      <c r="D47" s="124"/>
      <c r="E47" s="124"/>
      <c r="F47" s="124"/>
      <c r="G47" s="124"/>
      <c r="H47" s="124"/>
      <c r="I47" s="124"/>
      <c r="J47" s="124"/>
      <c r="K47" s="124"/>
      <c r="L47" s="124"/>
      <c r="M47" s="124"/>
      <c r="N47" s="303"/>
      <c r="O47" s="273">
        <f t="shared" si="0"/>
        <v>0</v>
      </c>
    </row>
    <row r="48" spans="1:15" ht="15" customHeight="1">
      <c r="A48" s="248">
        <v>182</v>
      </c>
      <c r="B48" s="250" t="s">
        <v>355</v>
      </c>
      <c r="C48" s="124"/>
      <c r="D48" s="124"/>
      <c r="E48" s="124"/>
      <c r="F48" s="124"/>
      <c r="G48" s="124"/>
      <c r="H48" s="124"/>
      <c r="I48" s="124"/>
      <c r="J48" s="124"/>
      <c r="K48" s="124"/>
      <c r="L48" s="124"/>
      <c r="M48" s="124"/>
      <c r="N48" s="303"/>
      <c r="O48" s="273">
        <f t="shared" si="0"/>
        <v>0</v>
      </c>
    </row>
    <row r="49" spans="1:15" s="245" customFormat="1" ht="15" customHeight="1">
      <c r="A49" s="248">
        <v>183</v>
      </c>
      <c r="B49" s="250" t="s">
        <v>152</v>
      </c>
      <c r="C49" s="124"/>
      <c r="D49" s="124"/>
      <c r="E49" s="124">
        <f>1872+250</f>
        <v>2122</v>
      </c>
      <c r="F49" s="124"/>
      <c r="G49" s="124"/>
      <c r="H49" s="124"/>
      <c r="I49" s="124">
        <v>2600</v>
      </c>
      <c r="J49" s="124">
        <v>1725</v>
      </c>
      <c r="K49" s="124"/>
      <c r="L49" s="124"/>
      <c r="M49" s="124"/>
      <c r="N49" s="303"/>
      <c r="O49" s="273">
        <f t="shared" si="0"/>
        <v>6447</v>
      </c>
    </row>
    <row r="50" spans="1:15" ht="15">
      <c r="A50" s="248">
        <v>185</v>
      </c>
      <c r="B50" s="250" t="s">
        <v>199</v>
      </c>
      <c r="C50" s="124"/>
      <c r="D50" s="124"/>
      <c r="E50" s="124"/>
      <c r="F50" s="124"/>
      <c r="G50" s="124"/>
      <c r="H50" s="124"/>
      <c r="I50" s="124"/>
      <c r="J50" s="124"/>
      <c r="K50" s="124"/>
      <c r="L50" s="124"/>
      <c r="M50" s="124"/>
      <c r="N50" s="303"/>
      <c r="O50" s="273">
        <f t="shared" si="0"/>
        <v>0</v>
      </c>
    </row>
    <row r="51" spans="1:15" ht="22.5">
      <c r="A51" s="248">
        <v>186</v>
      </c>
      <c r="B51" s="250" t="s">
        <v>201</v>
      </c>
      <c r="C51" s="124"/>
      <c r="D51" s="124">
        <v>575</v>
      </c>
      <c r="E51" s="124"/>
      <c r="F51" s="124"/>
      <c r="G51" s="124"/>
      <c r="H51" s="124"/>
      <c r="I51" s="124"/>
      <c r="J51" s="124"/>
      <c r="K51" s="124"/>
      <c r="L51" s="124"/>
      <c r="M51" s="124">
        <v>7329.4</v>
      </c>
      <c r="N51" s="303"/>
      <c r="O51" s="273">
        <f t="shared" si="0"/>
        <v>7904.4</v>
      </c>
    </row>
    <row r="52" spans="1:15" ht="29.25" customHeight="1">
      <c r="A52" s="248">
        <v>189</v>
      </c>
      <c r="B52" s="250" t="s">
        <v>153</v>
      </c>
      <c r="C52" s="124">
        <f>11600+6000+7400</f>
        <v>25000</v>
      </c>
      <c r="D52" s="124">
        <f>32500+6800+3300</f>
        <v>42600</v>
      </c>
      <c r="E52" s="124">
        <f>2800+5765+3700+22470+28800+11180+18900+8280+9035+4600</f>
        <v>115530</v>
      </c>
      <c r="F52" s="124">
        <f>3700+1850+22470+28800+10100+13660</f>
        <v>80580</v>
      </c>
      <c r="G52" s="124">
        <f>4000+3700+38900+4000</f>
        <v>50600</v>
      </c>
      <c r="H52" s="124">
        <f>24000+22470+3700+28800+10100</f>
        <v>89070</v>
      </c>
      <c r="I52" s="124">
        <v>87056</v>
      </c>
      <c r="J52" s="124">
        <f>3240+7700+2000+38900</f>
        <v>51840</v>
      </c>
      <c r="K52" s="124">
        <f>4000+3700+16900+22000+4000</f>
        <v>50600</v>
      </c>
      <c r="L52" s="124">
        <f>3700+38645+60800+14300+13400+10000+7200</f>
        <v>148045</v>
      </c>
      <c r="M52" s="124">
        <f>6400+3700</f>
        <v>10100</v>
      </c>
      <c r="N52" s="303">
        <f>21000+8225+3000+10525+38900+5200+6700+7400+26800+11200+2400+7200</f>
        <v>148550</v>
      </c>
      <c r="O52" s="273">
        <f t="shared" si="0"/>
        <v>899571</v>
      </c>
    </row>
    <row r="53" spans="1:15" ht="23.25" customHeight="1">
      <c r="A53" s="248">
        <v>191</v>
      </c>
      <c r="B53" s="250" t="s">
        <v>368</v>
      </c>
      <c r="C53" s="124"/>
      <c r="D53" s="124"/>
      <c r="E53" s="124"/>
      <c r="F53" s="124"/>
      <c r="G53" s="124"/>
      <c r="H53" s="124">
        <v>8202.6</v>
      </c>
      <c r="I53" s="124"/>
      <c r="J53" s="124">
        <v>2278.5</v>
      </c>
      <c r="K53" s="124"/>
      <c r="L53" s="124"/>
      <c r="M53" s="124"/>
      <c r="N53" s="303"/>
      <c r="O53" s="273">
        <f t="shared" si="0"/>
        <v>10481.1</v>
      </c>
    </row>
    <row r="54" spans="1:15" ht="14.25" customHeight="1">
      <c r="A54" s="248" t="s">
        <v>154</v>
      </c>
      <c r="B54" s="250" t="s">
        <v>155</v>
      </c>
      <c r="C54" s="124"/>
      <c r="D54" s="124"/>
      <c r="E54" s="124"/>
      <c r="F54" s="124"/>
      <c r="G54" s="124"/>
      <c r="H54" s="124"/>
      <c r="I54" s="124"/>
      <c r="J54" s="124"/>
      <c r="K54" s="124"/>
      <c r="L54" s="124">
        <f>159.09+4.2</f>
        <v>163.29</v>
      </c>
      <c r="M54" s="124"/>
      <c r="N54" s="303">
        <v>10</v>
      </c>
      <c r="O54" s="273">
        <f t="shared" si="0"/>
        <v>173.29</v>
      </c>
    </row>
    <row r="55" spans="1:15" ht="18" customHeight="1">
      <c r="A55" s="248">
        <f>195</f>
        <v>195</v>
      </c>
      <c r="B55" s="250" t="s">
        <v>186</v>
      </c>
      <c r="C55" s="124">
        <v>27.27</v>
      </c>
      <c r="D55" s="124">
        <v>23.86</v>
      </c>
      <c r="E55" s="124">
        <v>31.02</v>
      </c>
      <c r="F55" s="124">
        <v>25.12</v>
      </c>
      <c r="G55" s="124">
        <v>45.45</v>
      </c>
      <c r="H55" s="124">
        <v>35.31</v>
      </c>
      <c r="I55" s="124">
        <v>81.45</v>
      </c>
      <c r="J55" s="124">
        <v>68.72</v>
      </c>
      <c r="K55" s="124">
        <v>43.12</v>
      </c>
      <c r="L55" s="124">
        <v>70.51</v>
      </c>
      <c r="M55" s="124">
        <v>16.5</v>
      </c>
      <c r="N55" s="303">
        <v>44.81</v>
      </c>
      <c r="O55" s="273">
        <f t="shared" si="0"/>
        <v>513.1400000000001</v>
      </c>
    </row>
    <row r="56" spans="1:15" ht="24.75" customHeight="1">
      <c r="A56" s="248">
        <v>196</v>
      </c>
      <c r="B56" s="250" t="s">
        <v>156</v>
      </c>
      <c r="C56" s="124"/>
      <c r="D56" s="124">
        <v>32850</v>
      </c>
      <c r="E56" s="124">
        <f>468+12550+2800+34775</f>
        <v>50593</v>
      </c>
      <c r="F56" s="274">
        <f>4346+13910+6955</f>
        <v>25211</v>
      </c>
      <c r="G56" s="274">
        <f>700+950+468+468+32100</f>
        <v>34686</v>
      </c>
      <c r="H56" s="274"/>
      <c r="I56" s="124">
        <v>1000</v>
      </c>
      <c r="J56" s="124"/>
      <c r="K56" s="124">
        <f>600+30590.01</f>
        <v>31190.01</v>
      </c>
      <c r="L56" s="124">
        <f>29960+6420+21670</f>
        <v>58050</v>
      </c>
      <c r="M56" s="124"/>
      <c r="N56" s="305">
        <f>9300+8916+6300+300+150</f>
        <v>24966</v>
      </c>
      <c r="O56" s="273">
        <f t="shared" si="0"/>
        <v>258546.01</v>
      </c>
    </row>
    <row r="57" spans="1:15" ht="15">
      <c r="A57" s="248">
        <v>197</v>
      </c>
      <c r="B57" s="250" t="s">
        <v>313</v>
      </c>
      <c r="C57" s="124">
        <v>977.5</v>
      </c>
      <c r="D57" s="124">
        <v>977.5</v>
      </c>
      <c r="E57" s="124">
        <v>977.5</v>
      </c>
      <c r="F57" s="124">
        <f>977.5+4790</f>
        <v>5767.5</v>
      </c>
      <c r="G57" s="124">
        <v>977.5</v>
      </c>
      <c r="H57" s="124">
        <v>977.5</v>
      </c>
      <c r="I57" s="124">
        <v>977.5</v>
      </c>
      <c r="J57" s="124">
        <v>977.5</v>
      </c>
      <c r="K57" s="124">
        <v>977.5</v>
      </c>
      <c r="L57" s="124">
        <v>7000</v>
      </c>
      <c r="M57" s="124">
        <v>1955</v>
      </c>
      <c r="N57" s="305">
        <f>10500+977.5+977.5</f>
        <v>12455</v>
      </c>
      <c r="O57" s="273">
        <f t="shared" si="0"/>
        <v>34997.5</v>
      </c>
    </row>
    <row r="58" spans="1:15" ht="15">
      <c r="A58" s="248">
        <v>199</v>
      </c>
      <c r="B58" s="267" t="s">
        <v>10</v>
      </c>
      <c r="C58" s="124"/>
      <c r="D58" s="124">
        <f>62+385</f>
        <v>447</v>
      </c>
      <c r="E58" s="124">
        <f>101.25+1679.5+25.25+950+165</f>
        <v>2921</v>
      </c>
      <c r="F58" s="124">
        <f>90.25+142.5</f>
        <v>232.75</v>
      </c>
      <c r="G58" s="124">
        <f>196+2742.25</f>
        <v>2938.25</v>
      </c>
      <c r="H58" s="124">
        <f>205.25+411.75</f>
        <v>617</v>
      </c>
      <c r="I58" s="124">
        <f>115+206+105.75</f>
        <v>426.75</v>
      </c>
      <c r="J58" s="124">
        <f>40+115.5+15104.5</f>
        <v>15260</v>
      </c>
      <c r="K58" s="124">
        <f>135+141</f>
        <v>276</v>
      </c>
      <c r="L58" s="124">
        <f>283.25+1688+120.25+98.25+1346.3</f>
        <v>3536.05</v>
      </c>
      <c r="M58" s="124">
        <f>185.5+45.5+15.25</f>
        <v>246.25</v>
      </c>
      <c r="N58" s="305">
        <f>2000+600+1230.5+405</f>
        <v>4235.5</v>
      </c>
      <c r="O58" s="273">
        <f t="shared" si="0"/>
        <v>31136.55</v>
      </c>
    </row>
    <row r="59" spans="1:15" ht="15.75" customHeight="1">
      <c r="A59" s="248" t="s">
        <v>187</v>
      </c>
      <c r="B59" s="250" t="s">
        <v>157</v>
      </c>
      <c r="C59" s="124"/>
      <c r="D59" s="124"/>
      <c r="E59" s="124"/>
      <c r="F59" s="124"/>
      <c r="G59" s="124"/>
      <c r="H59" s="124"/>
      <c r="I59" s="124"/>
      <c r="J59" s="124"/>
      <c r="K59" s="124"/>
      <c r="L59" s="124"/>
      <c r="M59" s="124"/>
      <c r="N59" s="303"/>
      <c r="O59" s="273">
        <f t="shared" si="0"/>
        <v>0</v>
      </c>
    </row>
    <row r="60" spans="1:15" ht="15">
      <c r="A60" s="248">
        <v>211</v>
      </c>
      <c r="B60" s="250" t="s">
        <v>158</v>
      </c>
      <c r="C60" s="124">
        <v>34106</v>
      </c>
      <c r="D60" s="124">
        <f>1523.95+1039.6</f>
        <v>2563.55</v>
      </c>
      <c r="E60" s="124">
        <f>2349+505+894+2311.7+9117+25255+598+1445.25+15275</f>
        <v>57749.95</v>
      </c>
      <c r="F60" s="274">
        <f>1676+1898+1533+960+6110+3055+992.95</f>
        <v>16224.95</v>
      </c>
      <c r="G60" s="274">
        <f>630+3246+350+368+14687.5</f>
        <v>19281.5</v>
      </c>
      <c r="H60" s="274">
        <f>1164+929</f>
        <v>2093</v>
      </c>
      <c r="I60" s="124">
        <f>1500+25380+182+2850+4100+937+3024+1093.5</f>
        <v>39066.5</v>
      </c>
      <c r="J60" s="124">
        <f>1953+1225.5+799</f>
        <v>3977.5</v>
      </c>
      <c r="K60" s="274">
        <f>1003.6+39770+1697</f>
        <v>42470.6</v>
      </c>
      <c r="L60" s="124">
        <f>639+1503.95+677+14805+936+2820+51800</f>
        <v>73180.95</v>
      </c>
      <c r="M60" s="124">
        <f>1169+1451</f>
        <v>2620</v>
      </c>
      <c r="N60" s="306">
        <f>10230+3850+14320+462.9+1477.9</f>
        <v>30340.800000000003</v>
      </c>
      <c r="O60" s="273">
        <f t="shared" si="0"/>
        <v>323675.3</v>
      </c>
    </row>
    <row r="61" spans="1:15" ht="14.25" customHeight="1">
      <c r="A61" s="248" t="s">
        <v>159</v>
      </c>
      <c r="B61" s="250" t="s">
        <v>160</v>
      </c>
      <c r="C61" s="124"/>
      <c r="D61" s="124"/>
      <c r="E61" s="124"/>
      <c r="F61" s="274"/>
      <c r="G61" s="274">
        <f>8640+7062</f>
        <v>15702</v>
      </c>
      <c r="H61" s="274"/>
      <c r="I61" s="124">
        <v>1260</v>
      </c>
      <c r="J61" s="124">
        <v>810</v>
      </c>
      <c r="K61" s="274"/>
      <c r="L61" s="124">
        <f>15640</f>
        <v>15640</v>
      </c>
      <c r="M61" s="124"/>
      <c r="N61" s="306">
        <v>4125</v>
      </c>
      <c r="O61" s="273">
        <f t="shared" si="0"/>
        <v>37537</v>
      </c>
    </row>
    <row r="62" spans="1:15" ht="15.75" customHeight="1">
      <c r="A62" s="248" t="s">
        <v>161</v>
      </c>
      <c r="B62" s="250" t="s">
        <v>162</v>
      </c>
      <c r="C62" s="124">
        <v>329.9</v>
      </c>
      <c r="D62" s="124"/>
      <c r="E62" s="124">
        <v>65</v>
      </c>
      <c r="F62" s="274">
        <f>700+171.6</f>
        <v>871.6</v>
      </c>
      <c r="G62" s="274"/>
      <c r="H62" s="274"/>
      <c r="I62" s="124">
        <v>161.7</v>
      </c>
      <c r="J62" s="124"/>
      <c r="K62" s="124">
        <v>297.4</v>
      </c>
      <c r="L62" s="124">
        <f>1680+1910</f>
        <v>3590</v>
      </c>
      <c r="M62" s="124"/>
      <c r="N62" s="306"/>
      <c r="O62" s="273">
        <f t="shared" si="0"/>
        <v>5315.6</v>
      </c>
    </row>
    <row r="63" spans="1:15" ht="20.25" customHeight="1">
      <c r="A63" s="248" t="s">
        <v>188</v>
      </c>
      <c r="B63" s="250" t="s">
        <v>191</v>
      </c>
      <c r="C63" s="124"/>
      <c r="D63" s="124">
        <f>111.95+125.65</f>
        <v>237.60000000000002</v>
      </c>
      <c r="E63" s="124">
        <v>110.85</v>
      </c>
      <c r="F63" s="274"/>
      <c r="G63" s="274"/>
      <c r="H63" s="274">
        <v>166.5</v>
      </c>
      <c r="I63" s="124"/>
      <c r="J63" s="124"/>
      <c r="K63" s="124">
        <v>154.5</v>
      </c>
      <c r="L63" s="124">
        <f>575.3+76.65</f>
        <v>651.9499999999999</v>
      </c>
      <c r="M63" s="124"/>
      <c r="N63" s="306">
        <v>516</v>
      </c>
      <c r="O63" s="273">
        <f t="shared" si="0"/>
        <v>1837.4</v>
      </c>
    </row>
    <row r="64" spans="1:15" ht="15.75" customHeight="1">
      <c r="A64" s="248">
        <v>244</v>
      </c>
      <c r="B64" s="250" t="s">
        <v>198</v>
      </c>
      <c r="C64" s="124"/>
      <c r="D64" s="124"/>
      <c r="E64" s="124"/>
      <c r="F64" s="274"/>
      <c r="G64" s="274"/>
      <c r="H64" s="274"/>
      <c r="I64" s="124"/>
      <c r="J64" s="124"/>
      <c r="K64" s="124"/>
      <c r="L64" s="124"/>
      <c r="M64" s="124">
        <v>87</v>
      </c>
      <c r="N64" s="306">
        <f>110.95+135.95</f>
        <v>246.89999999999998</v>
      </c>
      <c r="O64" s="273">
        <f t="shared" si="0"/>
        <v>333.9</v>
      </c>
    </row>
    <row r="65" spans="1:15" ht="25.5" customHeight="1">
      <c r="A65" s="248">
        <v>245</v>
      </c>
      <c r="B65" s="250" t="s">
        <v>372</v>
      </c>
      <c r="C65" s="124"/>
      <c r="D65" s="124"/>
      <c r="E65" s="124"/>
      <c r="F65" s="274">
        <v>13300</v>
      </c>
      <c r="G65" s="274"/>
      <c r="H65" s="274"/>
      <c r="I65" s="124"/>
      <c r="J65" s="124"/>
      <c r="K65" s="124"/>
      <c r="L65" s="124"/>
      <c r="M65" s="124"/>
      <c r="N65" s="306"/>
      <c r="O65" s="273">
        <f t="shared" si="0"/>
        <v>13300</v>
      </c>
    </row>
    <row r="66" spans="1:15" ht="15">
      <c r="A66" s="248">
        <v>247</v>
      </c>
      <c r="B66" s="250" t="s">
        <v>163</v>
      </c>
      <c r="C66" s="124"/>
      <c r="D66" s="124"/>
      <c r="E66" s="124"/>
      <c r="F66" s="274"/>
      <c r="G66" s="274"/>
      <c r="H66" s="274"/>
      <c r="I66" s="124">
        <v>138.6</v>
      </c>
      <c r="J66" s="124"/>
      <c r="K66" s="124"/>
      <c r="L66" s="124"/>
      <c r="M66" s="124"/>
      <c r="N66" s="306"/>
      <c r="O66" s="273">
        <f t="shared" si="0"/>
        <v>138.6</v>
      </c>
    </row>
    <row r="67" spans="1:15" ht="24" customHeight="1">
      <c r="A67" s="248">
        <v>262</v>
      </c>
      <c r="B67" s="250" t="s">
        <v>164</v>
      </c>
      <c r="C67" s="124"/>
      <c r="D67" s="124">
        <f>1415.02+820.3</f>
        <v>2235.3199999999997</v>
      </c>
      <c r="E67" s="124">
        <f>400+1969.88+1630.17+825+2409.18</f>
        <v>7234.23</v>
      </c>
      <c r="F67" s="274">
        <f>1678.06+650+2034.83</f>
        <v>4362.889999999999</v>
      </c>
      <c r="G67" s="274">
        <f>2781.01+810</f>
        <v>3591.01</v>
      </c>
      <c r="H67" s="274">
        <f>2662.52+1100</f>
        <v>3762.52</v>
      </c>
      <c r="I67" s="124">
        <f>1659.78+3178.38+2345</f>
        <v>7183.16</v>
      </c>
      <c r="J67" s="124">
        <f>350+630+1986.27</f>
        <v>2966.27</v>
      </c>
      <c r="K67" s="124">
        <f>555.01+664.86</f>
        <v>1219.87</v>
      </c>
      <c r="L67" s="124"/>
      <c r="M67" s="124"/>
      <c r="N67" s="306">
        <v>330</v>
      </c>
      <c r="O67" s="273">
        <f t="shared" si="0"/>
        <v>32885.27</v>
      </c>
    </row>
    <row r="68" spans="1:15" ht="15">
      <c r="A68" s="248">
        <v>266</v>
      </c>
      <c r="B68" s="250" t="s">
        <v>165</v>
      </c>
      <c r="C68" s="124"/>
      <c r="D68" s="124"/>
      <c r="E68" s="124"/>
      <c r="F68" s="274"/>
      <c r="G68" s="274"/>
      <c r="H68" s="274"/>
      <c r="I68" s="124"/>
      <c r="J68" s="124"/>
      <c r="K68" s="124"/>
      <c r="L68" s="124">
        <f>1430.03+2293.48+1052.11+2401.1</f>
        <v>7176.719999999999</v>
      </c>
      <c r="M68" s="124">
        <f>619.83+1946.5+685.05</f>
        <v>3251.38</v>
      </c>
      <c r="N68" s="306">
        <f>1980.1+1809.15</f>
        <v>3789.25</v>
      </c>
      <c r="O68" s="273">
        <f t="shared" si="0"/>
        <v>14217.349999999999</v>
      </c>
    </row>
    <row r="69" spans="1:15" ht="15">
      <c r="A69" s="248" t="s">
        <v>166</v>
      </c>
      <c r="B69" s="250" t="s">
        <v>167</v>
      </c>
      <c r="C69" s="124"/>
      <c r="D69" s="124"/>
      <c r="E69" s="124">
        <v>862.5</v>
      </c>
      <c r="F69" s="274"/>
      <c r="G69" s="274"/>
      <c r="H69" s="274"/>
      <c r="I69" s="124">
        <v>383.6</v>
      </c>
      <c r="J69" s="124"/>
      <c r="K69" s="124"/>
      <c r="L69" s="124">
        <v>714.5</v>
      </c>
      <c r="M69" s="124"/>
      <c r="N69" s="306"/>
      <c r="O69" s="273">
        <f t="shared" si="0"/>
        <v>1960.6</v>
      </c>
    </row>
    <row r="70" spans="1:15" ht="15">
      <c r="A70" s="248">
        <v>268</v>
      </c>
      <c r="B70" s="250" t="s">
        <v>168</v>
      </c>
      <c r="C70" s="124"/>
      <c r="D70" s="124"/>
      <c r="E70" s="124">
        <f>250+142.9</f>
        <v>392.9</v>
      </c>
      <c r="F70" s="274"/>
      <c r="G70" s="274">
        <f>300+1750</f>
        <v>2050</v>
      </c>
      <c r="H70" s="274">
        <v>418</v>
      </c>
      <c r="I70" s="124"/>
      <c r="J70" s="124"/>
      <c r="K70" s="124">
        <v>127.5</v>
      </c>
      <c r="L70" s="124"/>
      <c r="M70" s="124"/>
      <c r="N70" s="306"/>
      <c r="O70" s="273">
        <f t="shared" si="0"/>
        <v>2988.4</v>
      </c>
    </row>
    <row r="71" spans="1:15" ht="14.25" customHeight="1">
      <c r="A71" s="248">
        <v>279</v>
      </c>
      <c r="B71" s="250" t="s">
        <v>373</v>
      </c>
      <c r="C71" s="124"/>
      <c r="D71" s="124"/>
      <c r="E71" s="124"/>
      <c r="F71" s="274"/>
      <c r="G71" s="274"/>
      <c r="H71" s="274"/>
      <c r="I71" s="124"/>
      <c r="J71" s="124"/>
      <c r="K71" s="124"/>
      <c r="L71" s="124">
        <f>1098.8+3106</f>
        <v>4204.8</v>
      </c>
      <c r="M71" s="124">
        <v>24.25</v>
      </c>
      <c r="N71" s="306"/>
      <c r="O71" s="273">
        <f t="shared" si="0"/>
        <v>4229.05</v>
      </c>
    </row>
    <row r="72" spans="1:15" ht="14.25" customHeight="1">
      <c r="A72" s="248">
        <v>283</v>
      </c>
      <c r="B72" s="250" t="s">
        <v>192</v>
      </c>
      <c r="C72" s="124"/>
      <c r="D72" s="124">
        <v>39.75</v>
      </c>
      <c r="E72" s="124">
        <v>97.75</v>
      </c>
      <c r="F72" s="274">
        <v>113.5</v>
      </c>
      <c r="G72" s="274"/>
      <c r="H72" s="274"/>
      <c r="I72" s="124">
        <v>231.65</v>
      </c>
      <c r="J72" s="124"/>
      <c r="K72" s="124"/>
      <c r="L72" s="124"/>
      <c r="M72" s="124"/>
      <c r="N72" s="306"/>
      <c r="O72" s="273">
        <f t="shared" si="0"/>
        <v>482.65</v>
      </c>
    </row>
    <row r="73" spans="1:15" ht="14.25" customHeight="1">
      <c r="A73" s="248" t="s">
        <v>169</v>
      </c>
      <c r="B73" s="250" t="s">
        <v>0</v>
      </c>
      <c r="C73" s="124">
        <v>454.35</v>
      </c>
      <c r="D73" s="124"/>
      <c r="E73" s="124">
        <f>235+38</f>
        <v>273</v>
      </c>
      <c r="F73" s="274">
        <v>578</v>
      </c>
      <c r="G73" s="274">
        <v>22</v>
      </c>
      <c r="H73" s="274">
        <v>73.7</v>
      </c>
      <c r="I73" s="124">
        <v>300</v>
      </c>
      <c r="J73" s="124"/>
      <c r="K73" s="124">
        <v>445</v>
      </c>
      <c r="L73" s="124">
        <v>524.91</v>
      </c>
      <c r="M73" s="124">
        <v>156.75</v>
      </c>
      <c r="N73" s="306"/>
      <c r="O73" s="273">
        <f t="shared" si="0"/>
        <v>2827.71</v>
      </c>
    </row>
    <row r="74" spans="1:15" ht="14.25" customHeight="1">
      <c r="A74" s="248" t="s">
        <v>170</v>
      </c>
      <c r="B74" s="250" t="s">
        <v>171</v>
      </c>
      <c r="C74" s="124"/>
      <c r="D74" s="124">
        <f>590+226.25</f>
        <v>816.25</v>
      </c>
      <c r="E74" s="124"/>
      <c r="F74" s="274"/>
      <c r="G74" s="274"/>
      <c r="H74" s="274"/>
      <c r="I74" s="124"/>
      <c r="J74" s="124"/>
      <c r="K74" s="124">
        <v>482.5</v>
      </c>
      <c r="L74" s="124"/>
      <c r="M74" s="124"/>
      <c r="N74" s="306">
        <v>251.4</v>
      </c>
      <c r="O74" s="273">
        <f t="shared" si="0"/>
        <v>1550.15</v>
      </c>
    </row>
    <row r="75" spans="1:15" ht="14.25" customHeight="1">
      <c r="A75" s="248">
        <v>294</v>
      </c>
      <c r="B75" s="250" t="s">
        <v>172</v>
      </c>
      <c r="C75" s="124"/>
      <c r="D75" s="124"/>
      <c r="E75" s="124">
        <v>6320</v>
      </c>
      <c r="F75" s="274"/>
      <c r="G75" s="274"/>
      <c r="H75" s="274"/>
      <c r="I75" s="124">
        <v>36500</v>
      </c>
      <c r="J75" s="124"/>
      <c r="K75" s="124">
        <v>19810</v>
      </c>
      <c r="L75" s="124"/>
      <c r="M75" s="124"/>
      <c r="N75" s="306"/>
      <c r="O75" s="273">
        <f t="shared" si="0"/>
        <v>62630</v>
      </c>
    </row>
    <row r="76" spans="1:15" ht="15">
      <c r="A76" s="248">
        <v>296</v>
      </c>
      <c r="B76" s="250" t="s">
        <v>369</v>
      </c>
      <c r="C76" s="124"/>
      <c r="D76" s="124"/>
      <c r="E76" s="124"/>
      <c r="F76" s="274"/>
      <c r="G76" s="274"/>
      <c r="H76" s="274"/>
      <c r="I76" s="124"/>
      <c r="J76" s="124"/>
      <c r="K76" s="124"/>
      <c r="L76" s="124"/>
      <c r="M76" s="124">
        <f>984+580</f>
        <v>1564</v>
      </c>
      <c r="N76" s="306">
        <v>27720</v>
      </c>
      <c r="O76" s="273">
        <f t="shared" si="0"/>
        <v>29284</v>
      </c>
    </row>
    <row r="77" spans="1:15" ht="22.5">
      <c r="A77" s="248">
        <v>297</v>
      </c>
      <c r="B77" s="250" t="s">
        <v>374</v>
      </c>
      <c r="C77" s="124"/>
      <c r="D77" s="124"/>
      <c r="E77" s="124"/>
      <c r="F77" s="274"/>
      <c r="G77" s="274"/>
      <c r="H77" s="274"/>
      <c r="I77" s="124"/>
      <c r="J77" s="124"/>
      <c r="K77" s="124"/>
      <c r="L77" s="124"/>
      <c r="M77" s="124"/>
      <c r="N77" s="306"/>
      <c r="O77" s="273">
        <f t="shared" si="0"/>
        <v>0</v>
      </c>
    </row>
    <row r="78" spans="1:15" ht="15">
      <c r="A78" s="248" t="s">
        <v>173</v>
      </c>
      <c r="B78" s="250" t="s">
        <v>16</v>
      </c>
      <c r="C78" s="124"/>
      <c r="D78" s="124"/>
      <c r="E78" s="124"/>
      <c r="F78" s="274"/>
      <c r="G78" s="274">
        <v>761.23</v>
      </c>
      <c r="H78" s="274"/>
      <c r="I78" s="124"/>
      <c r="J78" s="124"/>
      <c r="K78" s="124">
        <v>37.2</v>
      </c>
      <c r="L78" s="124">
        <v>215</v>
      </c>
      <c r="M78" s="124"/>
      <c r="N78" s="306"/>
      <c r="O78" s="273">
        <f t="shared" si="0"/>
        <v>1013.4300000000001</v>
      </c>
    </row>
    <row r="79" spans="1:15" ht="15">
      <c r="A79" s="263" t="s">
        <v>193</v>
      </c>
      <c r="B79" s="268" t="s">
        <v>175</v>
      </c>
      <c r="C79" s="124"/>
      <c r="D79" s="124"/>
      <c r="E79" s="124"/>
      <c r="F79" s="274"/>
      <c r="G79" s="274"/>
      <c r="H79" s="274"/>
      <c r="I79" s="124"/>
      <c r="J79" s="124"/>
      <c r="K79" s="124"/>
      <c r="L79" s="124">
        <f>726.5+235.03</f>
        <v>961.53</v>
      </c>
      <c r="M79" s="124">
        <v>500</v>
      </c>
      <c r="N79" s="306"/>
      <c r="O79" s="273">
        <f t="shared" si="0"/>
        <v>1461.53</v>
      </c>
    </row>
    <row r="80" spans="1:15" ht="15">
      <c r="A80" s="248">
        <v>322</v>
      </c>
      <c r="B80" s="250" t="s">
        <v>174</v>
      </c>
      <c r="C80" s="124"/>
      <c r="D80" s="124"/>
      <c r="E80" s="124"/>
      <c r="F80" s="124"/>
      <c r="G80" s="124"/>
      <c r="H80" s="124"/>
      <c r="I80" s="124"/>
      <c r="J80" s="124"/>
      <c r="K80" s="124"/>
      <c r="L80" s="124"/>
      <c r="M80" s="124"/>
      <c r="N80" s="306"/>
      <c r="O80" s="273">
        <f t="shared" si="0"/>
        <v>0</v>
      </c>
    </row>
    <row r="81" spans="1:15" ht="22.5">
      <c r="A81" s="248">
        <v>324</v>
      </c>
      <c r="B81" s="252" t="s">
        <v>334</v>
      </c>
      <c r="C81" s="124"/>
      <c r="D81" s="124"/>
      <c r="E81" s="124"/>
      <c r="F81" s="124"/>
      <c r="G81" s="124"/>
      <c r="H81" s="124"/>
      <c r="I81" s="124"/>
      <c r="J81" s="124"/>
      <c r="K81" s="124"/>
      <c r="L81" s="124"/>
      <c r="M81" s="124"/>
      <c r="N81" s="306"/>
      <c r="O81" s="273">
        <f t="shared" si="0"/>
        <v>0</v>
      </c>
    </row>
    <row r="82" spans="1:15" ht="15">
      <c r="A82" s="248">
        <v>328</v>
      </c>
      <c r="B82" s="252" t="s">
        <v>176</v>
      </c>
      <c r="C82" s="124"/>
      <c r="D82" s="124"/>
      <c r="E82" s="124"/>
      <c r="F82" s="124"/>
      <c r="G82" s="124"/>
      <c r="H82" s="124"/>
      <c r="I82" s="124"/>
      <c r="J82" s="124"/>
      <c r="K82" s="124"/>
      <c r="L82" s="124"/>
      <c r="M82" s="124"/>
      <c r="N82" s="306"/>
      <c r="O82" s="273">
        <f t="shared" si="0"/>
        <v>0</v>
      </c>
    </row>
    <row r="83" spans="1:15" ht="15">
      <c r="A83" s="248">
        <v>329</v>
      </c>
      <c r="B83" s="250" t="s">
        <v>365</v>
      </c>
      <c r="C83" s="124">
        <v>4875</v>
      </c>
      <c r="D83" s="124"/>
      <c r="E83" s="124"/>
      <c r="F83" s="124"/>
      <c r="G83" s="124"/>
      <c r="H83" s="124"/>
      <c r="I83" s="124"/>
      <c r="J83" s="124"/>
      <c r="K83" s="124"/>
      <c r="L83" s="124"/>
      <c r="M83" s="124"/>
      <c r="N83" s="306"/>
      <c r="O83" s="273">
        <f t="shared" si="0"/>
        <v>4875</v>
      </c>
    </row>
    <row r="84" spans="1:15" ht="21" customHeight="1">
      <c r="A84" s="248" t="s">
        <v>194</v>
      </c>
      <c r="B84" s="250" t="s">
        <v>64</v>
      </c>
      <c r="C84" s="124"/>
      <c r="D84" s="124"/>
      <c r="E84" s="124"/>
      <c r="F84" s="124"/>
      <c r="G84" s="124"/>
      <c r="H84" s="124"/>
      <c r="I84" s="124"/>
      <c r="J84" s="124"/>
      <c r="K84" s="124"/>
      <c r="L84" s="124"/>
      <c r="M84" s="124"/>
      <c r="N84" s="303"/>
      <c r="O84" s="273">
        <f aca="true" t="shared" si="1" ref="O84:O104">SUM(C84:N84)</f>
        <v>0</v>
      </c>
    </row>
    <row r="85" spans="1:15" ht="15">
      <c r="A85" s="248" t="s">
        <v>177</v>
      </c>
      <c r="B85" s="258" t="s">
        <v>178</v>
      </c>
      <c r="C85" s="124">
        <f>7395.5+5627.17+2793.61</f>
        <v>15816.28</v>
      </c>
      <c r="D85" s="124"/>
      <c r="E85" s="124"/>
      <c r="F85" s="124"/>
      <c r="G85" s="124"/>
      <c r="H85" s="124"/>
      <c r="I85" s="124"/>
      <c r="J85" s="124"/>
      <c r="K85" s="124"/>
      <c r="L85" s="124"/>
      <c r="M85" s="124"/>
      <c r="N85" s="306">
        <f>5541.67+5369.93</f>
        <v>10911.6</v>
      </c>
      <c r="O85" s="273">
        <f t="shared" si="1"/>
        <v>26727.88</v>
      </c>
    </row>
    <row r="86" spans="1:15" ht="15">
      <c r="A86" s="248">
        <v>415</v>
      </c>
      <c r="B86" s="249" t="s">
        <v>179</v>
      </c>
      <c r="C86" s="124">
        <f>3169.5+2347.33+1187.5</f>
        <v>6704.33</v>
      </c>
      <c r="D86" s="124"/>
      <c r="E86" s="124"/>
      <c r="F86" s="124"/>
      <c r="G86" s="124"/>
      <c r="H86" s="124"/>
      <c r="I86" s="124"/>
      <c r="J86" s="124"/>
      <c r="K86" s="124"/>
      <c r="L86" s="124"/>
      <c r="M86" s="124"/>
      <c r="N86" s="306"/>
      <c r="O86" s="273">
        <f t="shared" si="1"/>
        <v>6704.33</v>
      </c>
    </row>
    <row r="87" spans="1:15" ht="15">
      <c r="A87" s="248">
        <v>419</v>
      </c>
      <c r="B87" s="250" t="s">
        <v>180</v>
      </c>
      <c r="C87" s="124"/>
      <c r="D87" s="124"/>
      <c r="E87" s="124"/>
      <c r="F87" s="124"/>
      <c r="G87" s="124"/>
      <c r="H87" s="124">
        <v>3000</v>
      </c>
      <c r="I87" s="124"/>
      <c r="J87" s="124"/>
      <c r="K87" s="124">
        <f>29793+8349+6768+1500+1500</f>
        <v>47910</v>
      </c>
      <c r="L87" s="124"/>
      <c r="M87" s="124"/>
      <c r="N87" s="306">
        <f>1500+1500+17469+3552+6117+5829+10671+14151+9282+15588+3000</f>
        <v>88659</v>
      </c>
      <c r="O87" s="273">
        <f t="shared" si="1"/>
        <v>139569</v>
      </c>
    </row>
    <row r="88" spans="1:15" ht="22.5">
      <c r="A88" s="248">
        <v>472</v>
      </c>
      <c r="B88" s="250" t="s">
        <v>316</v>
      </c>
      <c r="C88" s="124"/>
      <c r="D88" s="124"/>
      <c r="E88" s="124"/>
      <c r="F88" s="124"/>
      <c r="G88" s="124">
        <f>31703.29+3911.21</f>
        <v>35614.5</v>
      </c>
      <c r="H88" s="124"/>
      <c r="I88" s="124">
        <v>8211.39</v>
      </c>
      <c r="J88" s="124">
        <v>7803.06</v>
      </c>
      <c r="K88" s="124"/>
      <c r="L88" s="124"/>
      <c r="M88" s="124"/>
      <c r="N88" s="306"/>
      <c r="O88" s="273">
        <f t="shared" si="1"/>
        <v>51628.95</v>
      </c>
    </row>
    <row r="89" spans="1:15" ht="22.5">
      <c r="A89" s="248"/>
      <c r="B89" s="250" t="s">
        <v>375</v>
      </c>
      <c r="C89" s="124"/>
      <c r="D89" s="124"/>
      <c r="E89" s="124"/>
      <c r="F89" s="124"/>
      <c r="G89" s="124"/>
      <c r="H89" s="124"/>
      <c r="I89" s="124"/>
      <c r="J89" s="124"/>
      <c r="K89" s="124"/>
      <c r="L89" s="124"/>
      <c r="M89" s="124"/>
      <c r="N89" s="306"/>
      <c r="O89" s="273">
        <f t="shared" si="1"/>
        <v>0</v>
      </c>
    </row>
    <row r="90" spans="1:15" ht="15">
      <c r="A90" s="248"/>
      <c r="B90" s="250" t="s">
        <v>376</v>
      </c>
      <c r="C90" s="275">
        <v>1603.14</v>
      </c>
      <c r="D90" s="124">
        <v>1603.14</v>
      </c>
      <c r="E90" s="124">
        <v>1603.14</v>
      </c>
      <c r="F90" s="124">
        <v>3988.19</v>
      </c>
      <c r="G90" s="124">
        <v>1603.14</v>
      </c>
      <c r="H90" s="124">
        <v>1603.14</v>
      </c>
      <c r="I90" s="124">
        <v>1603.14</v>
      </c>
      <c r="J90" s="124">
        <v>1848.68</v>
      </c>
      <c r="K90" s="124">
        <v>1603.14</v>
      </c>
      <c r="L90" s="124">
        <v>1603.14</v>
      </c>
      <c r="M90" s="124">
        <v>2121.27</v>
      </c>
      <c r="N90" s="306">
        <v>924.51</v>
      </c>
      <c r="O90" s="273">
        <f t="shared" si="1"/>
        <v>21707.769999999997</v>
      </c>
    </row>
    <row r="91" spans="1:15" ht="15">
      <c r="A91" s="248"/>
      <c r="B91" s="250" t="s">
        <v>377</v>
      </c>
      <c r="C91" s="275">
        <v>930.6</v>
      </c>
      <c r="D91" s="124">
        <f>178+178+103.55+103.55</f>
        <v>563.1</v>
      </c>
      <c r="E91" s="124">
        <v>707.98</v>
      </c>
      <c r="F91" s="124">
        <v>485.74</v>
      </c>
      <c r="G91" s="124">
        <v>485.74</v>
      </c>
      <c r="H91" s="124">
        <v>485.74</v>
      </c>
      <c r="I91" s="124">
        <v>485.74</v>
      </c>
      <c r="J91" s="124">
        <v>485.74</v>
      </c>
      <c r="K91" s="124">
        <v>485.74</v>
      </c>
      <c r="L91" s="124">
        <v>485.74</v>
      </c>
      <c r="M91" s="124">
        <v>485.74</v>
      </c>
      <c r="N91" s="306"/>
      <c r="O91" s="273">
        <f t="shared" si="1"/>
        <v>6087.5999999999985</v>
      </c>
    </row>
    <row r="92" spans="1:15" ht="15">
      <c r="A92" s="248"/>
      <c r="B92" s="250" t="s">
        <v>378</v>
      </c>
      <c r="C92" s="275">
        <f>750+2823.9+2560.8+2504.1</f>
        <v>8638.800000000001</v>
      </c>
      <c r="D92" s="274"/>
      <c r="E92" s="124"/>
      <c r="F92" s="124"/>
      <c r="G92" s="124"/>
      <c r="H92" s="124"/>
      <c r="I92" s="124">
        <v>300</v>
      </c>
      <c r="J92" s="124"/>
      <c r="K92" s="124"/>
      <c r="L92" s="124">
        <f>977.1+3813.9</f>
        <v>4791</v>
      </c>
      <c r="M92" s="124"/>
      <c r="N92" s="306"/>
      <c r="O92" s="273">
        <f t="shared" si="1"/>
        <v>13729.800000000001</v>
      </c>
    </row>
    <row r="93" spans="1:15" ht="15">
      <c r="A93" s="248"/>
      <c r="B93" s="250" t="s">
        <v>379</v>
      </c>
      <c r="C93" s="275"/>
      <c r="D93" s="124"/>
      <c r="E93" s="124"/>
      <c r="F93" s="124"/>
      <c r="G93" s="124"/>
      <c r="H93" s="124"/>
      <c r="I93" s="124"/>
      <c r="J93" s="124"/>
      <c r="K93" s="124"/>
      <c r="L93" s="124"/>
      <c r="M93" s="124">
        <v>2343.22</v>
      </c>
      <c r="N93" s="306"/>
      <c r="O93" s="273">
        <f t="shared" si="1"/>
        <v>2343.22</v>
      </c>
    </row>
    <row r="94" spans="1:15" ht="15">
      <c r="A94" s="248"/>
      <c r="B94" s="250" t="s">
        <v>380</v>
      </c>
      <c r="C94" s="275">
        <v>1524.77</v>
      </c>
      <c r="D94" s="124">
        <v>975.65</v>
      </c>
      <c r="E94" s="124">
        <v>1218.6</v>
      </c>
      <c r="F94" s="124">
        <v>1218.6</v>
      </c>
      <c r="G94" s="124">
        <v>1218.6</v>
      </c>
      <c r="H94" s="124">
        <v>1218.6</v>
      </c>
      <c r="I94" s="124">
        <v>1218.6</v>
      </c>
      <c r="J94" s="124">
        <v>1218.6</v>
      </c>
      <c r="K94" s="124">
        <v>1218.6</v>
      </c>
      <c r="L94" s="124">
        <v>1218.6</v>
      </c>
      <c r="M94" s="124">
        <v>1218.6</v>
      </c>
      <c r="N94" s="306">
        <v>1218.6</v>
      </c>
      <c r="O94" s="273">
        <f t="shared" si="1"/>
        <v>14686.420000000002</v>
      </c>
    </row>
    <row r="95" spans="1:15" ht="15">
      <c r="A95" s="248"/>
      <c r="B95" s="252" t="s">
        <v>381</v>
      </c>
      <c r="C95" s="275"/>
      <c r="D95" s="124"/>
      <c r="E95" s="124"/>
      <c r="F95" s="124"/>
      <c r="G95" s="124"/>
      <c r="H95" s="124"/>
      <c r="I95" s="124"/>
      <c r="J95" s="124"/>
      <c r="K95" s="124"/>
      <c r="L95" s="124"/>
      <c r="M95" s="124"/>
      <c r="N95" s="306"/>
      <c r="O95" s="273">
        <f t="shared" si="1"/>
        <v>0</v>
      </c>
    </row>
    <row r="96" spans="1:15" ht="15">
      <c r="A96" s="248"/>
      <c r="B96" s="252" t="s">
        <v>382</v>
      </c>
      <c r="C96" s="275"/>
      <c r="D96" s="124"/>
      <c r="E96" s="124"/>
      <c r="F96" s="124"/>
      <c r="G96" s="124"/>
      <c r="H96" s="124"/>
      <c r="I96" s="124"/>
      <c r="J96" s="124"/>
      <c r="K96" s="124"/>
      <c r="L96" s="124"/>
      <c r="M96" s="124"/>
      <c r="N96" s="306"/>
      <c r="O96" s="273">
        <f t="shared" si="1"/>
        <v>0</v>
      </c>
    </row>
    <row r="97" spans="1:15" ht="22.5">
      <c r="A97" s="248"/>
      <c r="B97" s="252" t="s">
        <v>383</v>
      </c>
      <c r="C97" s="275"/>
      <c r="D97" s="124"/>
      <c r="E97" s="124"/>
      <c r="F97" s="124"/>
      <c r="G97" s="124"/>
      <c r="H97" s="124"/>
      <c r="I97" s="124">
        <v>19547.01</v>
      </c>
      <c r="J97" s="124"/>
      <c r="K97" s="124"/>
      <c r="L97" s="124"/>
      <c r="M97" s="124"/>
      <c r="N97" s="306"/>
      <c r="O97" s="273">
        <f t="shared" si="1"/>
        <v>19547.01</v>
      </c>
    </row>
    <row r="98" spans="1:15" ht="15">
      <c r="A98" s="248"/>
      <c r="B98" s="252" t="s">
        <v>384</v>
      </c>
      <c r="C98" s="275"/>
      <c r="D98" s="124"/>
      <c r="E98" s="124"/>
      <c r="F98" s="124"/>
      <c r="G98" s="124">
        <v>16140</v>
      </c>
      <c r="H98" s="124">
        <v>19057.34</v>
      </c>
      <c r="I98" s="124"/>
      <c r="J98" s="124"/>
      <c r="K98" s="124"/>
      <c r="L98" s="124"/>
      <c r="M98" s="124"/>
      <c r="N98" s="306"/>
      <c r="O98" s="273">
        <f t="shared" si="1"/>
        <v>35197.34</v>
      </c>
    </row>
    <row r="99" spans="1:15" ht="15">
      <c r="A99" s="248"/>
      <c r="B99" s="252" t="s">
        <v>385</v>
      </c>
      <c r="C99" s="275">
        <v>207.65</v>
      </c>
      <c r="D99" s="124">
        <v>207.65</v>
      </c>
      <c r="E99" s="124">
        <v>207.65</v>
      </c>
      <c r="F99" s="124">
        <v>207.65</v>
      </c>
      <c r="G99" s="124">
        <v>207.65</v>
      </c>
      <c r="H99" s="124">
        <v>207.65</v>
      </c>
      <c r="I99" s="124">
        <v>207.65</v>
      </c>
      <c r="J99" s="124">
        <v>207.65</v>
      </c>
      <c r="K99" s="124">
        <v>207.65</v>
      </c>
      <c r="L99" s="124">
        <v>207.65</v>
      </c>
      <c r="M99" s="124">
        <v>207.65</v>
      </c>
      <c r="N99" s="306">
        <v>207.65</v>
      </c>
      <c r="O99" s="273">
        <f t="shared" si="1"/>
        <v>2491.8000000000006</v>
      </c>
    </row>
    <row r="100" spans="1:15" ht="15">
      <c r="A100" s="248"/>
      <c r="B100" s="252" t="s">
        <v>386</v>
      </c>
      <c r="C100" s="275">
        <f>566.1+792.9+816.3+416.97+740.4</f>
        <v>3332.6700000000005</v>
      </c>
      <c r="D100" s="274">
        <v>740.4</v>
      </c>
      <c r="E100" s="124">
        <v>740.4</v>
      </c>
      <c r="F100" s="124">
        <v>740.4</v>
      </c>
      <c r="G100" s="124">
        <v>740.4</v>
      </c>
      <c r="H100" s="124"/>
      <c r="I100" s="124">
        <f>740.4+90</f>
        <v>830.4</v>
      </c>
      <c r="J100" s="124">
        <v>1480.8</v>
      </c>
      <c r="K100" s="124">
        <v>740.4</v>
      </c>
      <c r="L100" s="124">
        <f>1295.46+882.24</f>
        <v>2177.7</v>
      </c>
      <c r="M100" s="124">
        <v>740.4</v>
      </c>
      <c r="N100" s="306">
        <v>1480.8</v>
      </c>
      <c r="O100" s="273">
        <f t="shared" si="1"/>
        <v>13744.769999999999</v>
      </c>
    </row>
    <row r="101" spans="1:15" ht="15">
      <c r="A101" s="248"/>
      <c r="B101" s="252" t="s">
        <v>387</v>
      </c>
      <c r="C101" s="275"/>
      <c r="D101" s="124"/>
      <c r="E101" s="124"/>
      <c r="F101" s="124"/>
      <c r="G101" s="124"/>
      <c r="H101" s="124"/>
      <c r="I101" s="124"/>
      <c r="J101" s="124"/>
      <c r="K101" s="124"/>
      <c r="L101" s="124"/>
      <c r="M101" s="124">
        <v>75000</v>
      </c>
      <c r="N101" s="124">
        <v>67211.51000000001</v>
      </c>
      <c r="O101" s="273">
        <f t="shared" si="1"/>
        <v>142211.51</v>
      </c>
    </row>
    <row r="102" spans="1:15" ht="22.5">
      <c r="A102" s="248"/>
      <c r="B102" s="252" t="s">
        <v>388</v>
      </c>
      <c r="C102" s="275"/>
      <c r="D102" s="124"/>
      <c r="E102" s="124"/>
      <c r="F102" s="124"/>
      <c r="G102" s="124"/>
      <c r="H102" s="124"/>
      <c r="I102" s="124"/>
      <c r="J102" s="124"/>
      <c r="K102" s="124"/>
      <c r="L102" s="124"/>
      <c r="M102" s="124"/>
      <c r="N102" s="124"/>
      <c r="O102" s="273">
        <f t="shared" si="1"/>
        <v>0</v>
      </c>
    </row>
    <row r="103" spans="1:15" ht="22.5">
      <c r="A103" s="248"/>
      <c r="B103" s="252" t="s">
        <v>389</v>
      </c>
      <c r="C103" s="275"/>
      <c r="D103" s="124"/>
      <c r="E103" s="124"/>
      <c r="F103" s="124"/>
      <c r="G103" s="124"/>
      <c r="H103" s="124"/>
      <c r="I103" s="124"/>
      <c r="J103" s="124"/>
      <c r="K103" s="124"/>
      <c r="L103" s="124"/>
      <c r="M103" s="124"/>
      <c r="N103" s="124"/>
      <c r="O103" s="273">
        <f t="shared" si="1"/>
        <v>0</v>
      </c>
    </row>
    <row r="104" spans="1:15" ht="15.75" thickBot="1">
      <c r="A104" s="248"/>
      <c r="B104" s="252" t="s">
        <v>390</v>
      </c>
      <c r="C104" s="275">
        <v>-1794.72</v>
      </c>
      <c r="D104" s="124"/>
      <c r="E104" s="124"/>
      <c r="F104" s="124"/>
      <c r="G104" s="124"/>
      <c r="H104" s="124"/>
      <c r="I104" s="124"/>
      <c r="J104" s="124"/>
      <c r="K104" s="124"/>
      <c r="L104" s="124"/>
      <c r="M104" s="124"/>
      <c r="N104" s="303"/>
      <c r="O104" s="273">
        <f t="shared" si="1"/>
        <v>-1794.72</v>
      </c>
    </row>
    <row r="105" spans="1:15" ht="15.75" thickBot="1">
      <c r="A105" s="264"/>
      <c r="B105" s="269" t="s">
        <v>135</v>
      </c>
      <c r="C105" s="307">
        <f aca="true" t="shared" si="2" ref="C105:O105">SUM(C18:C104)</f>
        <v>218981.96999999997</v>
      </c>
      <c r="D105" s="307">
        <f t="shared" si="2"/>
        <v>190354.84</v>
      </c>
      <c r="E105" s="307">
        <f t="shared" si="2"/>
        <v>365674.25000000006</v>
      </c>
      <c r="F105" s="307">
        <f t="shared" si="2"/>
        <v>260136.67</v>
      </c>
      <c r="G105" s="307">
        <f t="shared" si="2"/>
        <v>281527.37000000005</v>
      </c>
      <c r="H105" s="307">
        <f t="shared" si="2"/>
        <v>442591.93</v>
      </c>
      <c r="I105" s="307">
        <f t="shared" si="2"/>
        <v>324506.8800000001</v>
      </c>
      <c r="J105" s="307">
        <f t="shared" si="2"/>
        <v>318206.79</v>
      </c>
      <c r="K105" s="307">
        <f>SUM(K18:K104)</f>
        <v>277191.0800000001</v>
      </c>
      <c r="L105" s="307">
        <f>SUM(L18:L104)</f>
        <v>447614.79000000004</v>
      </c>
      <c r="M105" s="307">
        <f>SUM(M18:M104)</f>
        <v>146746.22999999998</v>
      </c>
      <c r="N105" s="307">
        <f>SUM(N18:N104)</f>
        <v>627929.05</v>
      </c>
      <c r="O105" s="308">
        <f t="shared" si="2"/>
        <v>3901461.849999999</v>
      </c>
    </row>
    <row r="106" spans="1:10" ht="23.25" thickBot="1">
      <c r="A106" s="255"/>
      <c r="B106" s="256" t="s">
        <v>391</v>
      </c>
      <c r="C106" s="257"/>
      <c r="D106" s="257"/>
      <c r="E106" s="257"/>
      <c r="F106" s="257"/>
      <c r="G106" s="257"/>
      <c r="H106" s="257"/>
      <c r="I106" s="257"/>
      <c r="J106" s="257"/>
    </row>
    <row r="107" ht="15">
      <c r="K107" s="265"/>
    </row>
    <row r="108" ht="15">
      <c r="K108" s="265"/>
    </row>
  </sheetData>
  <sheetProtection/>
  <mergeCells count="9">
    <mergeCell ref="A15:C15"/>
    <mergeCell ref="A4:C4"/>
    <mergeCell ref="A8:C8"/>
    <mergeCell ref="A14:C14"/>
    <mergeCell ref="A2:C2"/>
    <mergeCell ref="A9:B9"/>
    <mergeCell ref="A10:C10"/>
    <mergeCell ref="A11:C11"/>
    <mergeCell ref="A12:C12"/>
  </mergeCells>
  <printOptions/>
  <pageMargins left="1.299212598425197" right="0.7086614173228347" top="1.5748031496062993" bottom="1.535433070866142" header="0.31496062992125984" footer="0.31496062992125984"/>
  <pageSetup horizontalDpi="600" verticalDpi="600" orientation="landscape" scale="55"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84" t="s">
        <v>215</v>
      </c>
      <c r="B1" s="284"/>
      <c r="C1" s="284"/>
    </row>
    <row r="4" spans="1:3" ht="15">
      <c r="A4" s="283" t="s">
        <v>216</v>
      </c>
      <c r="B4" s="283"/>
      <c r="C4" s="283"/>
    </row>
    <row r="5" spans="1:3" ht="15">
      <c r="A5" s="283" t="s">
        <v>215</v>
      </c>
      <c r="B5" s="283"/>
      <c r="C5" s="283"/>
    </row>
    <row r="6" spans="1:3" ht="15">
      <c r="A6" s="283" t="s">
        <v>217</v>
      </c>
      <c r="B6" s="283"/>
      <c r="C6" s="283"/>
    </row>
    <row r="7" spans="1:3" ht="15">
      <c r="A7" s="283" t="s">
        <v>21</v>
      </c>
      <c r="B7" s="283"/>
      <c r="C7" s="283"/>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85" t="s">
        <v>236</v>
      </c>
      <c r="B1" s="285"/>
      <c r="C1" s="285"/>
      <c r="D1" s="285"/>
      <c r="E1" s="285"/>
      <c r="F1" s="285"/>
      <c r="G1" s="285"/>
      <c r="H1" s="285"/>
      <c r="I1" s="285"/>
      <c r="J1" s="285"/>
      <c r="K1" s="285"/>
      <c r="L1" s="285"/>
      <c r="M1" s="285"/>
    </row>
    <row r="3" spans="2:13" ht="15">
      <c r="B3" s="286" t="s">
        <v>236</v>
      </c>
      <c r="C3" s="286"/>
      <c r="D3" s="286"/>
      <c r="E3" s="286"/>
      <c r="F3" s="286"/>
      <c r="G3" s="286"/>
      <c r="H3" s="286"/>
      <c r="I3" s="286"/>
      <c r="J3" s="286"/>
      <c r="K3" s="286"/>
      <c r="L3" s="286"/>
      <c r="M3" s="286"/>
    </row>
    <row r="4" spans="2:13" ht="14.25">
      <c r="B4" s="27"/>
      <c r="C4" s="27"/>
      <c r="D4" s="27"/>
      <c r="E4" s="27"/>
      <c r="F4" s="27"/>
      <c r="G4" s="27"/>
      <c r="H4" s="27"/>
      <c r="I4" s="27"/>
      <c r="J4" s="27"/>
      <c r="K4" s="27"/>
      <c r="L4" s="27"/>
      <c r="M4" s="27"/>
    </row>
    <row r="5" spans="2:13" ht="15">
      <c r="B5" s="2"/>
      <c r="C5" s="2"/>
      <c r="D5" s="287" t="s">
        <v>237</v>
      </c>
      <c r="E5" s="287"/>
      <c r="F5" s="2"/>
      <c r="G5" s="2"/>
      <c r="H5" s="287" t="s">
        <v>238</v>
      </c>
      <c r="I5" s="287"/>
      <c r="J5" s="287"/>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88" t="s">
        <v>264</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row>
    <row r="5" spans="1:45" ht="22.5">
      <c r="A5" s="288" t="s">
        <v>265</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89" t="s">
        <v>266</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row>
    <row r="8" spans="1:45" s="44" customFormat="1" ht="27.75" customHeight="1">
      <c r="A8" s="42" t="s">
        <v>267</v>
      </c>
      <c r="B8" s="296" t="s">
        <v>268</v>
      </c>
      <c r="C8" s="43" t="s">
        <v>269</v>
      </c>
      <c r="D8" s="73"/>
      <c r="E8" s="73"/>
      <c r="F8" s="290" t="s">
        <v>270</v>
      </c>
      <c r="G8" s="294" t="s">
        <v>290</v>
      </c>
      <c r="H8" s="292" t="s">
        <v>3</v>
      </c>
      <c r="I8" s="290" t="s">
        <v>271</v>
      </c>
      <c r="J8" s="294" t="s">
        <v>291</v>
      </c>
      <c r="K8" s="292" t="s">
        <v>3</v>
      </c>
      <c r="L8" s="290" t="s">
        <v>272</v>
      </c>
      <c r="M8" s="294" t="s">
        <v>292</v>
      </c>
      <c r="N8" s="292" t="s">
        <v>3</v>
      </c>
      <c r="O8" s="290" t="s">
        <v>273</v>
      </c>
      <c r="P8" s="294" t="s">
        <v>293</v>
      </c>
      <c r="Q8" s="292" t="s">
        <v>3</v>
      </c>
      <c r="R8" s="290" t="s">
        <v>274</v>
      </c>
      <c r="S8" s="294" t="s">
        <v>294</v>
      </c>
      <c r="T8" s="292" t="s">
        <v>3</v>
      </c>
      <c r="U8" s="290" t="s">
        <v>275</v>
      </c>
      <c r="V8" s="294" t="s">
        <v>295</v>
      </c>
      <c r="W8" s="292" t="s">
        <v>3</v>
      </c>
      <c r="X8" s="290" t="s">
        <v>276</v>
      </c>
      <c r="Y8" s="294" t="s">
        <v>296</v>
      </c>
      <c r="Z8" s="292" t="s">
        <v>3</v>
      </c>
      <c r="AA8" s="290" t="s">
        <v>213</v>
      </c>
      <c r="AB8" s="294" t="s">
        <v>297</v>
      </c>
      <c r="AC8" s="292" t="s">
        <v>3</v>
      </c>
      <c r="AD8" s="290" t="s">
        <v>263</v>
      </c>
      <c r="AE8" s="294" t="s">
        <v>298</v>
      </c>
      <c r="AF8" s="292" t="s">
        <v>3</v>
      </c>
      <c r="AG8" s="290" t="s">
        <v>277</v>
      </c>
      <c r="AH8" s="294" t="s">
        <v>299</v>
      </c>
      <c r="AI8" s="292" t="s">
        <v>3</v>
      </c>
      <c r="AJ8" s="290" t="s">
        <v>278</v>
      </c>
      <c r="AK8" s="294" t="s">
        <v>300</v>
      </c>
      <c r="AL8" s="292" t="s">
        <v>3</v>
      </c>
      <c r="AM8" s="290" t="s">
        <v>279</v>
      </c>
      <c r="AN8" s="294" t="s">
        <v>301</v>
      </c>
      <c r="AO8" s="292" t="s">
        <v>3</v>
      </c>
      <c r="AP8" s="290" t="s">
        <v>302</v>
      </c>
      <c r="AQ8" s="294" t="s">
        <v>303</v>
      </c>
      <c r="AR8" s="292" t="s">
        <v>3</v>
      </c>
      <c r="AS8" s="298" t="s">
        <v>304</v>
      </c>
    </row>
    <row r="9" spans="1:45" s="44" customFormat="1" ht="15" thickBot="1">
      <c r="A9" s="57" t="s">
        <v>280</v>
      </c>
      <c r="B9" s="297"/>
      <c r="C9" s="58" t="s">
        <v>281</v>
      </c>
      <c r="D9" s="74" t="s">
        <v>305</v>
      </c>
      <c r="E9" s="74" t="s">
        <v>271</v>
      </c>
      <c r="F9" s="291"/>
      <c r="G9" s="295"/>
      <c r="H9" s="293"/>
      <c r="I9" s="291"/>
      <c r="J9" s="295"/>
      <c r="K9" s="293"/>
      <c r="L9" s="291"/>
      <c r="M9" s="295"/>
      <c r="N9" s="293"/>
      <c r="O9" s="291"/>
      <c r="P9" s="295"/>
      <c r="Q9" s="293"/>
      <c r="R9" s="291"/>
      <c r="S9" s="295"/>
      <c r="T9" s="293"/>
      <c r="U9" s="291"/>
      <c r="V9" s="295"/>
      <c r="W9" s="293"/>
      <c r="X9" s="291"/>
      <c r="Y9" s="295"/>
      <c r="Z9" s="293"/>
      <c r="AA9" s="291"/>
      <c r="AB9" s="295"/>
      <c r="AC9" s="293"/>
      <c r="AD9" s="291"/>
      <c r="AE9" s="295"/>
      <c r="AF9" s="293"/>
      <c r="AG9" s="291"/>
      <c r="AH9" s="295"/>
      <c r="AI9" s="293"/>
      <c r="AJ9" s="291"/>
      <c r="AK9" s="295"/>
      <c r="AL9" s="293"/>
      <c r="AM9" s="291"/>
      <c r="AN9" s="295"/>
      <c r="AO9" s="293"/>
      <c r="AP9" s="291"/>
      <c r="AQ9" s="295"/>
      <c r="AR9" s="293"/>
      <c r="AS9" s="299"/>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01" t="s">
        <v>51</v>
      </c>
      <c r="B1" s="301"/>
      <c r="C1" s="301"/>
      <c r="D1" s="301"/>
      <c r="E1" s="301"/>
      <c r="F1" s="301"/>
      <c r="G1" s="301"/>
      <c r="H1" s="301"/>
      <c r="I1" s="301"/>
      <c r="J1" s="301"/>
      <c r="K1" s="301"/>
      <c r="L1" s="301"/>
      <c r="M1" s="301"/>
      <c r="N1" s="301"/>
      <c r="O1" s="301"/>
    </row>
    <row r="2" spans="1:15" ht="12.75">
      <c r="A2" s="300" t="s">
        <v>1</v>
      </c>
      <c r="B2" s="300"/>
      <c r="C2" s="300"/>
      <c r="D2" s="300"/>
      <c r="E2" s="300"/>
      <c r="F2" s="300"/>
      <c r="G2" s="300"/>
      <c r="H2" s="300"/>
      <c r="I2" s="300"/>
      <c r="J2" s="300"/>
      <c r="K2" s="300"/>
      <c r="L2" s="300"/>
      <c r="M2" s="300"/>
      <c r="N2" s="300"/>
      <c r="O2" s="300"/>
    </row>
    <row r="3" spans="1:15" ht="12.75">
      <c r="A3" s="300" t="s">
        <v>51</v>
      </c>
      <c r="B3" s="300"/>
      <c r="C3" s="300"/>
      <c r="D3" s="300"/>
      <c r="E3" s="300"/>
      <c r="F3" s="300"/>
      <c r="G3" s="300"/>
      <c r="H3" s="300"/>
      <c r="I3" s="300"/>
      <c r="J3" s="300"/>
      <c r="K3" s="300"/>
      <c r="L3" s="300"/>
      <c r="M3" s="300"/>
      <c r="N3" s="300"/>
      <c r="O3" s="300"/>
    </row>
    <row r="4" spans="1:15" ht="12.75">
      <c r="A4" s="300" t="s">
        <v>311</v>
      </c>
      <c r="B4" s="300"/>
      <c r="C4" s="300"/>
      <c r="D4" s="300"/>
      <c r="E4" s="300"/>
      <c r="F4" s="300"/>
      <c r="G4" s="300"/>
      <c r="H4" s="300"/>
      <c r="I4" s="300"/>
      <c r="J4" s="300"/>
      <c r="K4" s="300"/>
      <c r="L4" s="300"/>
      <c r="M4" s="300"/>
      <c r="N4" s="300"/>
      <c r="O4" s="300"/>
    </row>
    <row r="5" spans="1:15" ht="12.75">
      <c r="A5" s="300" t="s">
        <v>21</v>
      </c>
      <c r="B5" s="300"/>
      <c r="C5" s="300"/>
      <c r="D5" s="300"/>
      <c r="E5" s="300"/>
      <c r="F5" s="300"/>
      <c r="G5" s="300"/>
      <c r="H5" s="300"/>
      <c r="I5" s="300"/>
      <c r="J5" s="300"/>
      <c r="K5" s="300"/>
      <c r="L5" s="300"/>
      <c r="M5" s="300"/>
      <c r="N5" s="300"/>
      <c r="O5" s="300"/>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ASESOR FINANCIERO</cp:lastModifiedBy>
  <cp:lastPrinted>2023-02-22T22:13:01Z</cp:lastPrinted>
  <dcterms:created xsi:type="dcterms:W3CDTF">2006-08-31T16:51:41Z</dcterms:created>
  <dcterms:modified xsi:type="dcterms:W3CDTF">2023-02-22T22:13:08Z</dcterms:modified>
  <cp:category/>
  <cp:version/>
  <cp:contentType/>
  <cp:contentStatus/>
</cp:coreProperties>
</file>