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FINANCIERO\Desktop\ACCESO 2023\SEPTIEMBRE\"/>
    </mc:Choice>
  </mc:AlternateContent>
  <xr:revisionPtr revIDLastSave="0" documentId="13_ncr:1_{71C8F8F1-4CC7-4DD9-A64B-47AD2E13F528}" xr6:coauthVersionLast="47" xr6:coauthVersionMax="47" xr10:uidLastSave="{00000000-0000-0000-0000-000000000000}"/>
  <bookViews>
    <workbookView xWindow="-120" yWindow="-120" windowWidth="21840" windowHeight="13140" activeTab="1" xr2:uid="{00000000-000D-0000-FFFF-FFFF00000000}"/>
  </bookViews>
  <sheets>
    <sheet name="INGRESOS Y EGRESOS" sheetId="1" r:id="rId1"/>
    <sheet name="TRANSFERENCIA Y MODIFICACIONES" sheetId="2" r:id="rId2"/>
  </sheets>
  <externalReferences>
    <externalReference r:id="rId3"/>
  </externalReferences>
  <definedNames>
    <definedName name="_xlnm.Print_Area" localSheetId="0">'INGRESOS Y EGRESOS'!$A$36:$P$137</definedName>
    <definedName name="_xlnm.Print_Area" localSheetId="1">'TRANSFERENCIA Y MODIFICACIONES'!$A$35:$G$137</definedName>
    <definedName name="_xlnm.Print_Titles" localSheetId="0">'INGRESOS Y EGRESOS'!$51:$53</definedName>
    <definedName name="_xlnm.Print_Titles" localSheetId="1">'TRANSFERENCIA Y MODIFICACIONES'!$51:$53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36" i="1" l="1"/>
  <c r="P118" i="1"/>
  <c r="P101" i="1"/>
  <c r="P95" i="1"/>
  <c r="P93" i="1"/>
  <c r="P91" i="1"/>
  <c r="P87" i="1"/>
  <c r="P75" i="1"/>
  <c r="P73" i="1"/>
  <c r="P57" i="1"/>
  <c r="P56" i="1"/>
  <c r="P55" i="1"/>
  <c r="P54" i="1"/>
  <c r="P31" i="1"/>
  <c r="P34" i="1"/>
  <c r="O136" i="1"/>
  <c r="O131" i="1"/>
  <c r="O129" i="1"/>
  <c r="O123" i="1"/>
  <c r="O118" i="1"/>
  <c r="Q118" i="1" s="1"/>
  <c r="O101" i="1"/>
  <c r="O95" i="1"/>
  <c r="O93" i="1"/>
  <c r="O92" i="1"/>
  <c r="O87" i="1"/>
  <c r="O83" i="1"/>
  <c r="O80" i="1"/>
  <c r="O78" i="1"/>
  <c r="O73" i="1"/>
  <c r="Q73" i="1" s="1"/>
  <c r="O66" i="1"/>
  <c r="Q66" i="1" s="1"/>
  <c r="O65" i="1"/>
  <c r="O57" i="1"/>
  <c r="O56" i="1"/>
  <c r="O55" i="1"/>
  <c r="O54" i="1"/>
  <c r="G136" i="2"/>
  <c r="F136" i="2"/>
  <c r="E136" i="2"/>
  <c r="D136" i="2"/>
  <c r="C136" i="2"/>
  <c r="G135" i="2"/>
  <c r="G132" i="2"/>
  <c r="G131" i="2"/>
  <c r="G125" i="2"/>
  <c r="G124" i="2"/>
  <c r="G123" i="2"/>
  <c r="G122" i="2"/>
  <c r="G121" i="2"/>
  <c r="G119" i="2"/>
  <c r="G118" i="2"/>
  <c r="G117" i="2"/>
  <c r="G116" i="2"/>
  <c r="G114" i="2"/>
  <c r="G113" i="2"/>
  <c r="G112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4" i="2"/>
  <c r="G93" i="2"/>
  <c r="G92" i="2"/>
  <c r="G91" i="2"/>
  <c r="G90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31" i="2"/>
  <c r="G29" i="2"/>
  <c r="G28" i="2"/>
  <c r="G27" i="2"/>
  <c r="G26" i="2"/>
  <c r="G25" i="2"/>
  <c r="G24" i="2"/>
  <c r="G23" i="2"/>
  <c r="G22" i="2"/>
  <c r="G21" i="2"/>
  <c r="G20" i="2"/>
  <c r="G19" i="2"/>
  <c r="C18" i="2"/>
  <c r="G18" i="2" s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O34" i="1"/>
  <c r="P136" i="1"/>
  <c r="N136" i="1"/>
  <c r="M136" i="1"/>
  <c r="L136" i="1"/>
  <c r="K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2" i="1"/>
  <c r="Q71" i="1"/>
  <c r="Q70" i="1"/>
  <c r="Q69" i="1"/>
  <c r="Q68" i="1"/>
  <c r="Q67" i="1"/>
  <c r="Q65" i="1"/>
  <c r="Q64" i="1"/>
  <c r="Q63" i="1"/>
  <c r="Q62" i="1"/>
  <c r="Q61" i="1"/>
  <c r="Q60" i="1"/>
  <c r="Q59" i="1"/>
  <c r="Q58" i="1"/>
  <c r="Q57" i="1"/>
  <c r="Q56" i="1"/>
  <c r="Q55" i="1"/>
  <c r="Q54" i="1"/>
  <c r="L118" i="1"/>
  <c r="K118" i="1"/>
  <c r="N117" i="1"/>
  <c r="N108" i="1"/>
  <c r="K104" i="1"/>
  <c r="L102" i="1"/>
  <c r="N101" i="1"/>
  <c r="M101" i="1"/>
  <c r="K101" i="1"/>
  <c r="N98" i="1"/>
  <c r="N96" i="1"/>
  <c r="M96" i="1"/>
  <c r="L96" i="1"/>
  <c r="N95" i="1"/>
  <c r="M95" i="1"/>
  <c r="K95" i="1"/>
  <c r="N93" i="1"/>
  <c r="M93" i="1"/>
  <c r="L93" i="1"/>
  <c r="K93" i="1"/>
  <c r="N87" i="1"/>
  <c r="M87" i="1"/>
  <c r="L87" i="1"/>
  <c r="K87" i="1"/>
  <c r="M80" i="1"/>
  <c r="N78" i="1"/>
  <c r="M78" i="1"/>
  <c r="K77" i="1"/>
  <c r="N73" i="1"/>
  <c r="M73" i="1"/>
  <c r="L73" i="1"/>
  <c r="K73" i="1"/>
  <c r="M72" i="1"/>
  <c r="L72" i="1"/>
  <c r="N67" i="1"/>
  <c r="M67" i="1"/>
  <c r="K67" i="1"/>
  <c r="N62" i="1"/>
  <c r="N57" i="1"/>
  <c r="M57" i="1"/>
  <c r="L57" i="1"/>
  <c r="N56" i="1"/>
  <c r="M56" i="1"/>
  <c r="L56" i="1"/>
  <c r="N55" i="1"/>
  <c r="M55" i="1"/>
  <c r="L55" i="1"/>
  <c r="N54" i="1"/>
  <c r="M54" i="1"/>
  <c r="L54" i="1"/>
  <c r="N34" i="1"/>
  <c r="M34" i="1"/>
  <c r="L34" i="1"/>
  <c r="K34" i="1"/>
  <c r="N21" i="1"/>
  <c r="H21" i="1"/>
  <c r="G135" i="1" l="1"/>
  <c r="H101" i="1" l="1"/>
  <c r="H95" i="1"/>
  <c r="H93" i="1"/>
  <c r="H87" i="1"/>
  <c r="H73" i="1"/>
  <c r="H59" i="1"/>
  <c r="H57" i="1"/>
  <c r="H56" i="1"/>
  <c r="H55" i="1"/>
  <c r="H54" i="1"/>
  <c r="J106" i="1"/>
  <c r="J104" i="1"/>
  <c r="J101" i="1"/>
  <c r="J95" i="1"/>
  <c r="J93" i="1"/>
  <c r="J92" i="1"/>
  <c r="J91" i="1"/>
  <c r="J87" i="1"/>
  <c r="J80" i="1"/>
  <c r="J73" i="1"/>
  <c r="J67" i="1"/>
  <c r="J59" i="1"/>
  <c r="J57" i="1"/>
  <c r="J56" i="1"/>
  <c r="J55" i="1"/>
  <c r="J54" i="1"/>
  <c r="J34" i="1"/>
  <c r="I34" i="1"/>
  <c r="I101" i="1"/>
  <c r="I95" i="1"/>
  <c r="I93" i="1"/>
  <c r="I87" i="1"/>
  <c r="I81" i="1"/>
  <c r="I73" i="1"/>
  <c r="I70" i="1"/>
  <c r="I67" i="1"/>
  <c r="I59" i="1"/>
  <c r="I57" i="1"/>
  <c r="I56" i="1"/>
  <c r="I55" i="1"/>
  <c r="I54" i="1"/>
  <c r="F136" i="1"/>
  <c r="E136" i="1"/>
  <c r="D136" i="1"/>
  <c r="A91" i="2"/>
  <c r="C32" i="2"/>
  <c r="C20" i="1"/>
  <c r="C34" i="1" s="1"/>
  <c r="F34" i="1"/>
  <c r="E34" i="1"/>
  <c r="D34" i="1"/>
  <c r="G33" i="1"/>
  <c r="G31" i="1"/>
  <c r="G30" i="1"/>
  <c r="G29" i="1"/>
  <c r="G28" i="1"/>
  <c r="G27" i="1"/>
  <c r="G26" i="1"/>
  <c r="G25" i="1"/>
  <c r="G24" i="1"/>
  <c r="G23" i="1"/>
  <c r="G22" i="1"/>
  <c r="G21" i="1"/>
  <c r="Q20" i="1"/>
  <c r="F32" i="2"/>
  <c r="E32" i="2"/>
  <c r="D32" i="2"/>
  <c r="I136" i="1" l="1"/>
  <c r="J136" i="1"/>
  <c r="H136" i="1"/>
  <c r="C136" i="1"/>
  <c r="Q34" i="1"/>
  <c r="G20" i="1"/>
  <c r="G34" i="1" s="1"/>
  <c r="H34" i="1"/>
  <c r="G132" i="1"/>
  <c r="G131" i="1"/>
  <c r="G125" i="1"/>
  <c r="G124" i="1"/>
  <c r="G123" i="1"/>
  <c r="G122" i="1"/>
  <c r="G121" i="1"/>
  <c r="G119" i="1"/>
  <c r="G118" i="1"/>
  <c r="G117" i="1"/>
  <c r="G116" i="1"/>
  <c r="G113" i="1"/>
  <c r="G112" i="1"/>
  <c r="G111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3" i="1"/>
  <c r="G92" i="1"/>
  <c r="G91" i="1"/>
  <c r="G90" i="1"/>
  <c r="A90" i="1"/>
  <c r="G89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8" i="1"/>
  <c r="G57" i="1"/>
  <c r="G56" i="1"/>
  <c r="G55" i="1"/>
  <c r="G54" i="1"/>
  <c r="G32" i="2" l="1"/>
  <c r="G59" i="1"/>
  <c r="G136" i="1" s="1"/>
  <c r="G139" i="1" s="1"/>
</calcChain>
</file>

<file path=xl/sharedStrings.xml><?xml version="1.0" encoding="utf-8"?>
<sst xmlns="http://schemas.openxmlformats.org/spreadsheetml/2006/main" count="335" uniqueCount="152">
  <si>
    <t>Cifras expresadas en quetzales</t>
  </si>
  <si>
    <t>MODIFICACIONES</t>
  </si>
  <si>
    <t>INGRESOS</t>
  </si>
  <si>
    <t xml:space="preserve">AUMENTO </t>
  </si>
  <si>
    <t>DISMINUCION</t>
  </si>
  <si>
    <t>VIGENTE</t>
  </si>
  <si>
    <t>ENERO</t>
  </si>
  <si>
    <t>SALDOS INICIALES</t>
  </si>
  <si>
    <t>Asignaciones de C.D.A.G.</t>
  </si>
  <si>
    <t>Ayudas extraordinaria C.D.A.G</t>
  </si>
  <si>
    <t>Ayuda de COG</t>
  </si>
  <si>
    <t>Inscripciones, cuotas afiliaciones</t>
  </si>
  <si>
    <t>Intereses de Bancos</t>
  </si>
  <si>
    <t>Ingresos por ajustes y/o reintegros</t>
  </si>
  <si>
    <t>TOTAL DE INGRESOS</t>
  </si>
  <si>
    <t>Ejecucion Presupuestaria de Egresos</t>
  </si>
  <si>
    <t>SERVICIOS PERSONALES</t>
  </si>
  <si>
    <t>PERSONAL PERMANENTE</t>
  </si>
  <si>
    <t>COMPLEMENTO ESPECIFICO AL PERSONAL PERMANENTE</t>
  </si>
  <si>
    <t>PERSONAL POR CONTRATO</t>
  </si>
  <si>
    <t>COMPLEMENTO ESPECIFICO AL PERSONAL TEMPORAL</t>
  </si>
  <si>
    <t>CUOTA PATRONAL IGSS</t>
  </si>
  <si>
    <t>DIETAS</t>
  </si>
  <si>
    <t>GASTOS DE REPRESENTACION EN EL INTERIOS</t>
  </si>
  <si>
    <t>AGUINALDOS</t>
  </si>
  <si>
    <t>BONIFICACION ANUAL (BONO 14)</t>
  </si>
  <si>
    <t>OTRAS PRESTACIONES</t>
  </si>
  <si>
    <t>SERVICIOS NO PERSONALES</t>
  </si>
  <si>
    <t>ENERGIA ELECTRICA</t>
  </si>
  <si>
    <t>AGUA</t>
  </si>
  <si>
    <t>TELEFONIA</t>
  </si>
  <si>
    <t>CORREOS Y TELEGRAFOS</t>
  </si>
  <si>
    <t>EXTRACCION DE BASURA Y DEST. DESECHOS SOLIDOS</t>
  </si>
  <si>
    <t>DIVULGACION E INFORMACION</t>
  </si>
  <si>
    <t>VIATICOS EN EL EXTERIOR</t>
  </si>
  <si>
    <t>TRANSPORTE DE PERSONAS</t>
  </si>
  <si>
    <t>FLETES</t>
  </si>
  <si>
    <t>ARRENDAMIENTO DE EDIFICIOS Y LOCALES</t>
  </si>
  <si>
    <t>ARRENDAMIENTO DE TIERRAS Y TERRENOS</t>
  </si>
  <si>
    <t>ARRENDAMIENTO DE MAQUINAS Y EQUIPO DE OFICINA</t>
  </si>
  <si>
    <t>ARRENDAMIENTO DE MEDIOS DE TRANSPORTE</t>
  </si>
  <si>
    <t>MANTENIM. Y REP. DE EQUIP EDUC Y RECRE.</t>
  </si>
  <si>
    <t>MANTENIM. Y REPARACION EQUIPO COMPUTO</t>
  </si>
  <si>
    <t>SERVICIOS JURIDICOS</t>
  </si>
  <si>
    <t>SERVICIOS DE CAPACITACION</t>
  </si>
  <si>
    <t>SERVICIOS DE INFORMATICA Y SISTEMAS COMPUTARIZADOS</t>
  </si>
  <si>
    <t>OTROS ESTUDIOS Y/O SERVICIOS</t>
  </si>
  <si>
    <t>SERVICIOS DE ATENCION Y PROTOCOLOS</t>
  </si>
  <si>
    <t>SERVICIOS DE VIGILANCIA</t>
  </si>
  <si>
    <t>OTROS SERVICIOS NO PERSONALES</t>
  </si>
  <si>
    <t>MATERIALES Y SUMINISTROS</t>
  </si>
  <si>
    <t>ALIMENTOS PARA PERSONAS</t>
  </si>
  <si>
    <t>PRENDAS DE VESTIR (UNIFORMES)</t>
  </si>
  <si>
    <t>PAPEL DE ESCRITORIO</t>
  </si>
  <si>
    <t>PRODUCTOS DE PAPEL O CARTON</t>
  </si>
  <si>
    <t>ESPECIES TIMBRES Y VALORES</t>
  </si>
  <si>
    <t>COMBUSTIBLES Y LUBRICANTES</t>
  </si>
  <si>
    <t>PRODUCTOS MEDICINALES Y FARMACEUTICOS</t>
  </si>
  <si>
    <t>TINTES, PINTURAS Y COLORANTES</t>
  </si>
  <si>
    <t>PRODUCTOS PLASTICOS, NYLON, VINIL Y P.V.C.</t>
  </si>
  <si>
    <t>PRODUCTOS DE METAL</t>
  </si>
  <si>
    <t>UTILES DE OFICINA</t>
  </si>
  <si>
    <t>UTILES DE LIMPIEZA Y PRODUCTOS SANITARIOS</t>
  </si>
  <si>
    <t xml:space="preserve">UTILES DEPORTIVOS Y RECREATIVOS </t>
  </si>
  <si>
    <t>OTROS MATERIALES Y SUMINISTROS</t>
  </si>
  <si>
    <t>PROPIEDAD, PLANTA Y EQUIPO</t>
  </si>
  <si>
    <t>EQUIPO DE OFICINA</t>
  </si>
  <si>
    <t>EQUIPO DE COMPUTO</t>
  </si>
  <si>
    <t>TRANSFERENCIAS CORRIENTES</t>
  </si>
  <si>
    <t>INDEMNIZACIONES AL PERSONAL</t>
  </si>
  <si>
    <t>VACACIONES PAGADAS POR RETIRO</t>
  </si>
  <si>
    <t>OTRAS TRANSFERENCIAS A PERSONAS</t>
  </si>
  <si>
    <t>TRANSFERENCIAS A ORGANISMOS E INSTITUCIONES INTERNACIONALES</t>
  </si>
  <si>
    <t>TOTAL DE EGRESOS</t>
  </si>
  <si>
    <t>19 CALLE 11-32 COLONIA BOSQUES DE MARISCAL ZONA 11</t>
  </si>
  <si>
    <t>HORARIO DE ATENCIÓN A CLIENTE: 07:00 a 15:00 hrs</t>
  </si>
  <si>
    <t>(502) 2474-4531/ 2474-4777</t>
  </si>
  <si>
    <t xml:space="preserve">Ley de Acceso a la Informacion Publica </t>
  </si>
  <si>
    <t>Capitulo segundo</t>
  </si>
  <si>
    <t>NUMERO 7</t>
  </si>
  <si>
    <t>ACUMULADO</t>
  </si>
  <si>
    <t>ASOCIACION NACIONAL DE SURF DE GUATEMALA -ASOSURF-</t>
  </si>
  <si>
    <t>EQUIPO EDUCACIONAL, CULTURAL Y RECREATIVO</t>
  </si>
  <si>
    <t xml:space="preserve"> 071</t>
  </si>
  <si>
    <t>079</t>
  </si>
  <si>
    <t>1</t>
  </si>
  <si>
    <t xml:space="preserve"> 141</t>
  </si>
  <si>
    <t xml:space="preserve"> 142</t>
  </si>
  <si>
    <t>MANTENIMIENTO Y REPARACION DE MAQUINARIAY EQUIPO</t>
  </si>
  <si>
    <t xml:space="preserve"> 168</t>
  </si>
  <si>
    <t>MANTENIM. DE OTRAS MAQUINAS Y EQUIPO</t>
  </si>
  <si>
    <t>SERVICIOS MEDICO - SANITARIOS</t>
  </si>
  <si>
    <t>PRIMAS Y GASTOS DE SEGUROS Y FIANZAS</t>
  </si>
  <si>
    <t xml:space="preserve"> 194</t>
  </si>
  <si>
    <t>OTRAS COMIS. Y GASTOS BANCARIOS</t>
  </si>
  <si>
    <t>IMPUESTOS, DERECHOS Y TASAS</t>
  </si>
  <si>
    <t>2</t>
  </si>
  <si>
    <t xml:space="preserve"> 233</t>
  </si>
  <si>
    <t xml:space="preserve"> 241</t>
  </si>
  <si>
    <t xml:space="preserve"> 243</t>
  </si>
  <si>
    <t xml:space="preserve"> 267</t>
  </si>
  <si>
    <t xml:space="preserve"> 291</t>
  </si>
  <si>
    <t xml:space="preserve"> 292</t>
  </si>
  <si>
    <t xml:space="preserve"> 299</t>
  </si>
  <si>
    <t>3</t>
  </si>
  <si>
    <t>4</t>
  </si>
  <si>
    <t xml:space="preserve"> 413</t>
  </si>
  <si>
    <t>CUOTA LABORAL IGSS POR PAGAR E IMPUESTOS POR PAGAR</t>
  </si>
  <si>
    <t>CUADRO DE TRANSFERENCIA Y MODIFICACIONES</t>
  </si>
  <si>
    <t>ENCARGADO DE ACTUALIZACIÓN: ROCIO MARISOL HERRERA BARRIOS</t>
  </si>
  <si>
    <t>Presupuesto CDAG/OTRAS FUENTES</t>
  </si>
  <si>
    <t>AMPLIACION OTRAS FUENTES</t>
  </si>
  <si>
    <t>Cuota Laboral IGSS por Pagar</t>
  </si>
  <si>
    <t>Impuestos por pagar</t>
  </si>
  <si>
    <t xml:space="preserve">Retención ISR Servicios Profesionales </t>
  </si>
  <si>
    <t xml:space="preserve">Retención ISR Servicios Laborales </t>
  </si>
  <si>
    <t>Retencion ISR Sorteos</t>
  </si>
  <si>
    <t xml:space="preserve">Retención ISR a personas no recidentes </t>
  </si>
  <si>
    <t xml:space="preserve">Retención IGSS Laboral </t>
  </si>
  <si>
    <t>Devolucion de ISR</t>
  </si>
  <si>
    <t>Devoluciones a Confederacion Deportiva Autonoma de Guatemala</t>
  </si>
  <si>
    <t>Devoluciones a Comité Olimpico Guatemalteco</t>
  </si>
  <si>
    <t>Fianza de Fidelidad</t>
  </si>
  <si>
    <t>Timbres Fiscales</t>
  </si>
  <si>
    <t>NO AFECTA PRESUPUESTO (BONO 14 YA REBAJADO DEL RENGLON 072)</t>
  </si>
  <si>
    <t>NO AFECTA PRESUPUESTO (AGUINALDO YA REBAJADO DEL RENGLON 071)</t>
  </si>
  <si>
    <t>Impresión y Encuadernacion</t>
  </si>
  <si>
    <t>Apoyo  para juegos deportivos Nacionales</t>
  </si>
  <si>
    <t>Cuentas por pagar</t>
  </si>
  <si>
    <t xml:space="preserve"> LIBROS REVISTA Y PERIODICOS</t>
  </si>
  <si>
    <t>Prestaciones Laborales</t>
  </si>
  <si>
    <t xml:space="preserve">Bono 14 </t>
  </si>
  <si>
    <t>Ejecucion Presupuestaria de Ingresos</t>
  </si>
  <si>
    <t>Ayuda  PRT</t>
  </si>
  <si>
    <t>TOTAL DE PORCENTAJE EJECUTADO SEGÚN DISTRIBUCION</t>
  </si>
  <si>
    <t>RESPONSABLE DE PUBLICACION Y PAGINA WEB: MARIO RODOLFO CASTRO ESCOBAR</t>
  </si>
  <si>
    <t>SUF ADAPTADO</t>
  </si>
  <si>
    <t>GERENTE GENERAL: HELEN YORYANA RAFAEL LAZARO</t>
  </si>
  <si>
    <t>Del 01 de Enero al 31 de Diciembre 2023</t>
  </si>
  <si>
    <t>Ejecucion Presupuestaria de Ingresos 2023</t>
  </si>
  <si>
    <t>FEBRERO</t>
  </si>
  <si>
    <t>MARZO</t>
  </si>
  <si>
    <t>FECHA DE ACTUALIZACIÓN:  SEPTIEMBRE 2023</t>
  </si>
  <si>
    <t>ABRIL</t>
  </si>
  <si>
    <t>Provisiones laborales</t>
  </si>
  <si>
    <t>MAYO</t>
  </si>
  <si>
    <t>JUNIO</t>
  </si>
  <si>
    <t>JULIO</t>
  </si>
  <si>
    <t>AGOSTO</t>
  </si>
  <si>
    <t>SEPTIEMBRE</t>
  </si>
  <si>
    <t>FECHA DE ACTUALIZACIÓN: SEPTIEMBRE 2023</t>
  </si>
  <si>
    <t>Provision laborales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</si>
</sst>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&quot;Q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sz val="8"/>
      <color rgb="FFFF0000"/>
      <name val="Arial"/>
      <family val="2"/>
    </font>
    <font>
      <sz val="16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112">
    <xf numFmtId="0" fontId="0" fillId="0" borderId="0" xfId="0"/>
    <xf numFmtId="0" fontId="2" fillId="2" borderId="0" xfId="0" applyFont="1" applyFill="1" applyAlignment="1">
      <alignment horizontal="left"/>
    </xf>
    <xf numFmtId="0" fontId="4" fillId="0" borderId="0" xfId="0" applyFont="1"/>
    <xf numFmtId="0" fontId="4" fillId="0" borderId="0" xfId="0" applyFont="1" applyFill="1"/>
    <xf numFmtId="0" fontId="2" fillId="0" borderId="0" xfId="0" applyFont="1" applyBorder="1" applyAlignment="1">
      <alignment vertical="center"/>
    </xf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40" fontId="6" fillId="2" borderId="2" xfId="0" applyNumberFormat="1" applyFont="1" applyFill="1" applyBorder="1"/>
    <xf numFmtId="4" fontId="6" fillId="2" borderId="2" xfId="1" applyNumberFormat="1" applyFont="1" applyFill="1" applyBorder="1"/>
    <xf numFmtId="4" fontId="6" fillId="2" borderId="2" xfId="0" applyNumberFormat="1" applyFont="1" applyFill="1" applyBorder="1"/>
    <xf numFmtId="4" fontId="6" fillId="2" borderId="10" xfId="0" applyNumberFormat="1" applyFont="1" applyFill="1" applyBorder="1"/>
    <xf numFmtId="4" fontId="6" fillId="2" borderId="9" xfId="0" applyNumberFormat="1" applyFont="1" applyFill="1" applyBorder="1"/>
    <xf numFmtId="4" fontId="6" fillId="2" borderId="8" xfId="0" applyNumberFormat="1" applyFont="1" applyFill="1" applyBorder="1"/>
    <xf numFmtId="4" fontId="6" fillId="2" borderId="11" xfId="0" applyNumberFormat="1" applyFont="1" applyFill="1" applyBorder="1"/>
    <xf numFmtId="4" fontId="6" fillId="2" borderId="12" xfId="0" applyNumberFormat="1" applyFont="1" applyFill="1" applyBorder="1"/>
    <xf numFmtId="4" fontId="5" fillId="2" borderId="2" xfId="0" applyNumberFormat="1" applyFont="1" applyFill="1" applyBorder="1"/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4" fontId="3" fillId="2" borderId="2" xfId="2" applyNumberFormat="1" applyFont="1" applyFill="1" applyBorder="1" applyAlignment="1" applyProtection="1">
      <alignment vertical="center"/>
      <protection locked="0"/>
    </xf>
    <xf numFmtId="4" fontId="10" fillId="2" borderId="2" xfId="0" applyNumberFormat="1" applyFont="1" applyFill="1" applyBorder="1"/>
    <xf numFmtId="4" fontId="5" fillId="2" borderId="0" xfId="0" applyNumberFormat="1" applyFont="1" applyFill="1" applyBorder="1" applyAlignment="1">
      <alignment wrapText="1"/>
    </xf>
    <xf numFmtId="0" fontId="8" fillId="2" borderId="0" xfId="0" applyFont="1" applyFill="1" applyAlignment="1">
      <alignment vertical="center"/>
    </xf>
    <xf numFmtId="4" fontId="8" fillId="2" borderId="15" xfId="0" applyNumberFormat="1" applyFont="1" applyFill="1" applyBorder="1" applyAlignment="1">
      <alignment horizontal="center" vertical="center" wrapText="1"/>
    </xf>
    <xf numFmtId="4" fontId="8" fillId="2" borderId="16" xfId="0" applyNumberFormat="1" applyFont="1" applyFill="1" applyBorder="1" applyAlignment="1">
      <alignment horizontal="center" vertical="top" wrapText="1"/>
    </xf>
    <xf numFmtId="4" fontId="8" fillId="2" borderId="17" xfId="0" applyNumberFormat="1" applyFont="1" applyFill="1" applyBorder="1" applyAlignment="1">
      <alignment horizontal="center" vertical="center"/>
    </xf>
    <xf numFmtId="4" fontId="8" fillId="2" borderId="18" xfId="0" applyNumberFormat="1" applyFont="1" applyFill="1" applyBorder="1" applyAlignment="1">
      <alignment horizontal="center" vertical="center"/>
    </xf>
    <xf numFmtId="165" fontId="8" fillId="2" borderId="16" xfId="0" applyNumberFormat="1" applyFont="1" applyFill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20" xfId="0" applyNumberFormat="1" applyFont="1" applyFill="1" applyBorder="1"/>
    <xf numFmtId="0" fontId="6" fillId="2" borderId="19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left" wrapText="1"/>
    </xf>
    <xf numFmtId="4" fontId="5" fillId="2" borderId="0" xfId="0" applyNumberFormat="1" applyFont="1" applyFill="1" applyBorder="1"/>
    <xf numFmtId="0" fontId="1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4" fontId="6" fillId="2" borderId="0" xfId="0" applyNumberFormat="1" applyFont="1" applyFill="1"/>
    <xf numFmtId="0" fontId="6" fillId="2" borderId="21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5" fillId="2" borderId="0" xfId="0" applyFont="1" applyFill="1"/>
    <xf numFmtId="0" fontId="8" fillId="2" borderId="0" xfId="0" applyFont="1" applyFill="1" applyAlignment="1" applyProtection="1">
      <alignment vertical="center" wrapText="1"/>
      <protection locked="0"/>
    </xf>
    <xf numFmtId="4" fontId="8" fillId="2" borderId="25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26" xfId="0" applyNumberFormat="1" applyFont="1" applyFill="1" applyBorder="1" applyAlignment="1" applyProtection="1">
      <alignment horizontal="center" vertical="top" wrapText="1"/>
      <protection locked="0"/>
    </xf>
    <xf numFmtId="4" fontId="8" fillId="2" borderId="26" xfId="0" applyNumberFormat="1" applyFont="1" applyFill="1" applyBorder="1" applyAlignment="1" applyProtection="1">
      <alignment horizontal="center" vertical="center" wrapText="1"/>
      <protection locked="0"/>
    </xf>
    <xf numFmtId="165" fontId="8" fillId="2" borderId="26" xfId="0" applyNumberFormat="1" applyFont="1" applyFill="1" applyBorder="1" applyAlignment="1" applyProtection="1">
      <alignment horizontal="center" vertical="top" wrapText="1"/>
      <protection locked="0"/>
    </xf>
    <xf numFmtId="4" fontId="5" fillId="2" borderId="4" xfId="0" applyNumberFormat="1" applyFont="1" applyFill="1" applyBorder="1" applyAlignment="1">
      <alignment horizontal="center" wrapText="1"/>
    </xf>
    <xf numFmtId="4" fontId="5" fillId="2" borderId="2" xfId="1" applyNumberFormat="1" applyFont="1" applyFill="1" applyBorder="1"/>
    <xf numFmtId="4" fontId="5" fillId="2" borderId="4" xfId="0" applyNumberFormat="1" applyFont="1" applyFill="1" applyBorder="1" applyAlignment="1">
      <alignment wrapText="1"/>
    </xf>
    <xf numFmtId="2" fontId="5" fillId="2" borderId="2" xfId="0" applyNumberFormat="1" applyFont="1" applyFill="1" applyBorder="1"/>
    <xf numFmtId="4" fontId="5" fillId="2" borderId="27" xfId="0" applyNumberFormat="1" applyFont="1" applyFill="1" applyBorder="1" applyAlignment="1">
      <alignment wrapText="1"/>
    </xf>
    <xf numFmtId="4" fontId="5" fillId="2" borderId="28" xfId="0" applyNumberFormat="1" applyFont="1" applyFill="1" applyBorder="1"/>
    <xf numFmtId="40" fontId="6" fillId="2" borderId="2" xfId="3" applyNumberFormat="1" applyFont="1" applyFill="1" applyBorder="1"/>
    <xf numFmtId="39" fontId="9" fillId="2" borderId="2" xfId="3" applyNumberFormat="1" applyFont="1" applyFill="1" applyBorder="1" applyAlignment="1">
      <alignment horizontal="right"/>
    </xf>
    <xf numFmtId="39" fontId="9" fillId="2" borderId="9" xfId="3" applyNumberFormat="1" applyFont="1" applyFill="1" applyBorder="1" applyAlignment="1">
      <alignment horizontal="right"/>
    </xf>
    <xf numFmtId="0" fontId="6" fillId="2" borderId="22" xfId="0" applyNumberFormat="1" applyFont="1" applyFill="1" applyBorder="1" applyAlignment="1">
      <alignment horizontal="center"/>
    </xf>
    <xf numFmtId="49" fontId="6" fillId="2" borderId="19" xfId="0" applyNumberFormat="1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4" fontId="6" fillId="2" borderId="0" xfId="0" applyNumberFormat="1" applyFont="1" applyFill="1" applyBorder="1" applyAlignment="1"/>
    <xf numFmtId="4" fontId="8" fillId="2" borderId="30" xfId="0" applyNumberFormat="1" applyFont="1" applyFill="1" applyBorder="1" applyAlignment="1">
      <alignment horizontal="center" vertical="center" wrapText="1"/>
    </xf>
    <xf numFmtId="4" fontId="8" fillId="2" borderId="28" xfId="0" applyNumberFormat="1" applyFont="1" applyFill="1" applyBorder="1" applyAlignment="1">
      <alignment horizontal="center" vertical="top" wrapText="1"/>
    </xf>
    <xf numFmtId="4" fontId="8" fillId="2" borderId="9" xfId="0" applyNumberFormat="1" applyFont="1" applyFill="1" applyBorder="1" applyAlignment="1">
      <alignment horizontal="center" vertical="center"/>
    </xf>
    <xf numFmtId="165" fontId="8" fillId="2" borderId="28" xfId="0" applyNumberFormat="1" applyFont="1" applyFill="1" applyBorder="1" applyAlignment="1">
      <alignment horizontal="center" vertical="top" wrapText="1"/>
    </xf>
    <xf numFmtId="4" fontId="8" fillId="2" borderId="28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wrapText="1"/>
    </xf>
    <xf numFmtId="4" fontId="6" fillId="2" borderId="9" xfId="1" applyNumberFormat="1" applyFont="1" applyFill="1" applyBorder="1"/>
    <xf numFmtId="0" fontId="6" fillId="2" borderId="2" xfId="0" applyFont="1" applyFill="1" applyBorder="1" applyAlignment="1">
      <alignment horizontal="left" wrapText="1"/>
    </xf>
    <xf numFmtId="40" fontId="6" fillId="2" borderId="9" xfId="0" applyNumberFormat="1" applyFont="1" applyFill="1" applyBorder="1"/>
    <xf numFmtId="40" fontId="6" fillId="2" borderId="10" xfId="0" applyNumberFormat="1" applyFont="1" applyFill="1" applyBorder="1"/>
    <xf numFmtId="0" fontId="6" fillId="2" borderId="2" xfId="0" applyFont="1" applyFill="1" applyBorder="1" applyAlignment="1">
      <alignment wrapText="1"/>
    </xf>
    <xf numFmtId="0" fontId="7" fillId="2" borderId="2" xfId="0" applyFont="1" applyFill="1" applyBorder="1" applyAlignment="1">
      <alignment horizontal="left" wrapText="1"/>
    </xf>
    <xf numFmtId="0" fontId="7" fillId="2" borderId="20" xfId="0" applyFont="1" applyFill="1" applyBorder="1" applyAlignment="1">
      <alignment horizontal="left" wrapText="1"/>
    </xf>
    <xf numFmtId="0" fontId="6" fillId="2" borderId="31" xfId="0" applyFont="1" applyFill="1" applyBorder="1" applyAlignment="1">
      <alignment horizontal="left" wrapText="1"/>
    </xf>
    <xf numFmtId="0" fontId="6" fillId="2" borderId="26" xfId="0" applyFont="1" applyFill="1" applyBorder="1" applyAlignment="1">
      <alignment horizontal="left" wrapText="1"/>
    </xf>
    <xf numFmtId="4" fontId="5" fillId="2" borderId="32" xfId="0" applyNumberFormat="1" applyFont="1" applyFill="1" applyBorder="1" applyAlignment="1">
      <alignment wrapText="1"/>
    </xf>
    <xf numFmtId="4" fontId="5" fillId="2" borderId="33" xfId="0" applyNumberFormat="1" applyFont="1" applyFill="1" applyBorder="1"/>
    <xf numFmtId="40" fontId="6" fillId="2" borderId="34" xfId="0" applyNumberFormat="1" applyFont="1" applyFill="1" applyBorder="1"/>
    <xf numFmtId="40" fontId="6" fillId="2" borderId="14" xfId="0" applyNumberFormat="1" applyFont="1" applyFill="1" applyBorder="1"/>
    <xf numFmtId="40" fontId="6" fillId="2" borderId="35" xfId="0" applyNumberFormat="1" applyFont="1" applyFill="1" applyBorder="1"/>
    <xf numFmtId="0" fontId="12" fillId="2" borderId="0" xfId="0" applyFont="1" applyFill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0" fontId="6" fillId="2" borderId="8" xfId="0" applyNumberFormat="1" applyFont="1" applyFill="1" applyBorder="1"/>
    <xf numFmtId="40" fontId="6" fillId="2" borderId="11" xfId="0" applyNumberFormat="1" applyFont="1" applyFill="1" applyBorder="1"/>
    <xf numFmtId="40" fontId="6" fillId="2" borderId="36" xfId="0" applyNumberFormat="1" applyFont="1" applyFill="1" applyBorder="1"/>
    <xf numFmtId="40" fontId="6" fillId="2" borderId="8" xfId="3" applyNumberFormat="1" applyFont="1" applyFill="1" applyBorder="1"/>
    <xf numFmtId="4" fontId="4" fillId="0" borderId="0" xfId="0" applyNumberFormat="1" applyFont="1"/>
    <xf numFmtId="0" fontId="6" fillId="2" borderId="37" xfId="0" applyFont="1" applyFill="1" applyBorder="1" applyAlignment="1">
      <alignment horizontal="center"/>
    </xf>
    <xf numFmtId="0" fontId="5" fillId="2" borderId="2" xfId="0" applyFont="1" applyFill="1" applyBorder="1"/>
    <xf numFmtId="40" fontId="6" fillId="2" borderId="0" xfId="0" applyNumberFormat="1" applyFont="1" applyFill="1"/>
    <xf numFmtId="4" fontId="4" fillId="0" borderId="34" xfId="0" applyNumberFormat="1" applyFont="1" applyBorder="1"/>
    <xf numFmtId="4" fontId="4" fillId="0" borderId="38" xfId="0" applyNumberFormat="1" applyFont="1" applyBorder="1"/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3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6" xfId="0" applyNumberFormat="1" applyFont="1" applyFill="1" applyBorder="1" applyAlignment="1">
      <alignment horizontal="center"/>
    </xf>
    <xf numFmtId="40" fontId="6" fillId="2" borderId="20" xfId="0" applyNumberFormat="1" applyFont="1" applyFill="1" applyBorder="1"/>
  </cellXfs>
  <cellStyles count="4">
    <cellStyle name="Millares" xfId="2" builtinId="3"/>
    <cellStyle name="Moneda" xfId="1" builtinId="4"/>
    <cellStyle name="Normal" xfId="0" builtinId="0"/>
    <cellStyle name="Normal 2" xfId="3" xr:uid="{13DB7347-E67A-4C5A-A4EF-EFFFDCF691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CIERO/Desktop/CAJAS%20FISCALES%202023/caja%20fiscal%20y%20estados%20financieros%20septiembre%202023%20WEND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 200-A-3 Ingresos (3)"/>
      <sheetName val="Egr.01"/>
      <sheetName val="Egr.02"/>
      <sheetName val="Egr.03"/>
      <sheetName val="Egr.04"/>
      <sheetName val="Egr.05"/>
      <sheetName val="INTE. CAJ FIS. (2)"/>
      <sheetName val="Forma 200-A-3 INFO. ADICION (2)"/>
      <sheetName val="EJECUCION PRESUPUESTARIA (2)"/>
      <sheetName val="TRASLADOS (2)"/>
      <sheetName val="Estado de Resultados (2)"/>
      <sheetName val="Balance (2)"/>
      <sheetName val="Hoja1"/>
      <sheetName val="Hoja Trab. Final (2)"/>
      <sheetName val="Flujo Final (2)"/>
      <sheetName val="Notas (2)"/>
      <sheetName val="DIARIO (2)"/>
      <sheetName val="Egr.9"/>
      <sheetName val="Egr.10"/>
      <sheetName val="Sheet1"/>
      <sheetName val="PRES5"/>
      <sheetName val="PRES4"/>
      <sheetName val="Ejecucion Presup 08 COMPARATIVA"/>
      <sheetName val="RESULTADOS ACUMULADO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9"/>
  <sheetViews>
    <sheetView topLeftCell="A24" workbookViewId="0">
      <selection activeCell="A36" sqref="A36:P137"/>
    </sheetView>
  </sheetViews>
  <sheetFormatPr baseColWidth="10" defaultColWidth="11" defaultRowHeight="12" x14ac:dyDescent="0.2"/>
  <cols>
    <col min="1" max="1" width="6" style="2" customWidth="1"/>
    <col min="2" max="2" width="25.5703125" style="2" bestFit="1" customWidth="1"/>
    <col min="3" max="3" width="12.42578125" style="2" hidden="1" customWidth="1"/>
    <col min="4" max="4" width="8.7109375" style="2" hidden="1" customWidth="1"/>
    <col min="5" max="5" width="9.85546875" style="2" hidden="1" customWidth="1"/>
    <col min="6" max="6" width="12.140625" style="2" hidden="1" customWidth="1"/>
    <col min="7" max="7" width="11.7109375" style="2" hidden="1" customWidth="1"/>
    <col min="8" max="16" width="11.28515625" style="2" customWidth="1"/>
    <col min="17" max="17" width="11.7109375" style="2" hidden="1" customWidth="1"/>
    <col min="18" max="16384" width="11" style="2"/>
  </cols>
  <sheetData>
    <row r="1" spans="1:17" x14ac:dyDescent="0.2">
      <c r="B1" s="4" t="s">
        <v>81</v>
      </c>
      <c r="C1" s="4"/>
      <c r="D1" s="4"/>
      <c r="E1" s="4"/>
      <c r="F1" s="4"/>
      <c r="G1" s="4"/>
      <c r="H1" s="4"/>
      <c r="I1" s="43"/>
      <c r="J1" s="85"/>
      <c r="K1" s="86"/>
      <c r="L1" s="86"/>
      <c r="M1" s="86"/>
      <c r="N1" s="86"/>
      <c r="O1" s="86"/>
      <c r="P1" s="86"/>
    </row>
    <row r="2" spans="1:17" x14ac:dyDescent="0.2">
      <c r="B2" s="4" t="s">
        <v>74</v>
      </c>
      <c r="C2" s="4"/>
      <c r="D2" s="4"/>
      <c r="E2" s="4"/>
      <c r="F2" s="4"/>
      <c r="G2" s="4"/>
      <c r="H2" s="4"/>
      <c r="I2" s="43"/>
      <c r="J2" s="85"/>
      <c r="K2" s="86"/>
      <c r="L2" s="86"/>
      <c r="M2" s="86"/>
      <c r="N2" s="86"/>
      <c r="O2" s="86"/>
      <c r="P2" s="86"/>
    </row>
    <row r="3" spans="1:17" x14ac:dyDescent="0.2">
      <c r="B3" s="4" t="s">
        <v>75</v>
      </c>
      <c r="C3" s="4"/>
      <c r="D3" s="4"/>
      <c r="E3" s="4"/>
      <c r="F3" s="4"/>
      <c r="G3" s="4"/>
      <c r="H3" s="4"/>
      <c r="I3" s="43"/>
      <c r="J3" s="85"/>
      <c r="K3" s="86"/>
      <c r="L3" s="86"/>
      <c r="M3" s="86"/>
      <c r="N3" s="86"/>
      <c r="O3" s="86"/>
      <c r="P3" s="86"/>
    </row>
    <row r="4" spans="1:17" x14ac:dyDescent="0.2">
      <c r="B4" s="102" t="s">
        <v>76</v>
      </c>
      <c r="C4" s="102"/>
      <c r="D4" s="102"/>
      <c r="E4" s="102"/>
      <c r="F4" s="102"/>
      <c r="G4" s="102"/>
      <c r="H4" s="102"/>
      <c r="I4" s="43"/>
      <c r="J4" s="85"/>
      <c r="K4" s="86"/>
      <c r="L4" s="86"/>
      <c r="M4" s="86"/>
      <c r="N4" s="86"/>
      <c r="O4" s="86"/>
      <c r="P4" s="86"/>
    </row>
    <row r="5" spans="1:17" x14ac:dyDescent="0.2">
      <c r="B5" s="4" t="s">
        <v>137</v>
      </c>
      <c r="C5" s="4"/>
      <c r="D5" s="4"/>
      <c r="E5" s="4"/>
      <c r="F5" s="4"/>
      <c r="G5" s="4"/>
      <c r="H5" s="4"/>
      <c r="I5" s="43"/>
      <c r="J5" s="85"/>
      <c r="K5" s="86"/>
      <c r="L5" s="86"/>
      <c r="M5" s="86"/>
      <c r="N5" s="86"/>
      <c r="O5" s="86"/>
      <c r="P5" s="86"/>
    </row>
    <row r="6" spans="1:17" x14ac:dyDescent="0.2">
      <c r="B6" s="4" t="s">
        <v>109</v>
      </c>
      <c r="C6" s="4"/>
      <c r="D6" s="4"/>
      <c r="E6" s="4"/>
      <c r="F6" s="4"/>
      <c r="G6" s="4"/>
      <c r="H6" s="4"/>
      <c r="I6" s="43"/>
      <c r="J6" s="85"/>
      <c r="K6" s="86"/>
      <c r="L6" s="86"/>
      <c r="M6" s="86"/>
      <c r="N6" s="86"/>
      <c r="O6" s="86"/>
      <c r="P6" s="86"/>
    </row>
    <row r="7" spans="1:17" x14ac:dyDescent="0.2">
      <c r="B7" s="4" t="s">
        <v>135</v>
      </c>
      <c r="C7" s="4"/>
      <c r="D7" s="4"/>
      <c r="E7" s="4"/>
      <c r="F7" s="4"/>
      <c r="G7" s="4"/>
      <c r="H7" s="4"/>
      <c r="I7" s="43"/>
      <c r="J7" s="85"/>
      <c r="K7" s="86"/>
      <c r="L7" s="86"/>
      <c r="M7" s="86"/>
      <c r="N7" s="86"/>
      <c r="O7" s="86"/>
      <c r="P7" s="86"/>
    </row>
    <row r="8" spans="1:17" x14ac:dyDescent="0.2">
      <c r="B8" s="4" t="s">
        <v>142</v>
      </c>
      <c r="C8" s="4"/>
      <c r="D8" s="4"/>
      <c r="E8" s="4"/>
      <c r="F8" s="4"/>
      <c r="G8" s="4"/>
      <c r="H8" s="4"/>
      <c r="I8" s="43"/>
      <c r="J8" s="85"/>
      <c r="K8" s="86"/>
      <c r="L8" s="86"/>
      <c r="M8" s="86"/>
      <c r="N8" s="86"/>
      <c r="O8" s="86"/>
      <c r="P8" s="86"/>
    </row>
    <row r="9" spans="1:17" x14ac:dyDescent="0.2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">
      <c r="B10" s="102" t="s">
        <v>77</v>
      </c>
      <c r="C10" s="102"/>
      <c r="D10" s="102"/>
      <c r="E10" s="102"/>
      <c r="F10" s="102"/>
      <c r="G10" s="102"/>
      <c r="H10" s="102"/>
      <c r="I10" s="43"/>
      <c r="J10" s="85"/>
      <c r="K10" s="86"/>
      <c r="L10" s="86"/>
      <c r="M10" s="86"/>
      <c r="N10" s="86"/>
      <c r="O10" s="86"/>
      <c r="P10" s="86"/>
    </row>
    <row r="11" spans="1:17" x14ac:dyDescent="0.2">
      <c r="B11" s="102" t="s">
        <v>78</v>
      </c>
      <c r="C11" s="102"/>
      <c r="D11" s="102"/>
      <c r="E11" s="102"/>
      <c r="F11" s="102"/>
      <c r="G11" s="102"/>
      <c r="H11" s="102"/>
      <c r="I11" s="43"/>
      <c r="J11" s="85"/>
      <c r="K11" s="86"/>
      <c r="L11" s="86"/>
      <c r="M11" s="86"/>
      <c r="N11" s="86"/>
      <c r="O11" s="86"/>
      <c r="P11" s="86"/>
    </row>
    <row r="12" spans="1:17" x14ac:dyDescent="0.2">
      <c r="B12" s="102" t="s">
        <v>79</v>
      </c>
      <c r="C12" s="102"/>
      <c r="D12" s="102"/>
      <c r="E12" s="102"/>
      <c r="F12" s="102"/>
      <c r="G12" s="102"/>
      <c r="H12" s="102"/>
      <c r="I12" s="43"/>
      <c r="J12" s="85"/>
      <c r="K12" s="86"/>
      <c r="L12" s="86"/>
      <c r="M12" s="86"/>
      <c r="N12" s="86"/>
      <c r="O12" s="86"/>
      <c r="P12" s="86"/>
    </row>
    <row r="13" spans="1:17" ht="20.25" customHeight="1" x14ac:dyDescent="0.2">
      <c r="B13" s="102"/>
      <c r="C13" s="102"/>
      <c r="D13" s="102"/>
      <c r="E13" s="102"/>
      <c r="F13" s="102"/>
      <c r="G13" s="102"/>
      <c r="H13" s="102"/>
      <c r="I13" s="43"/>
      <c r="J13" s="85"/>
      <c r="K13" s="86"/>
      <c r="L13" s="86"/>
      <c r="M13" s="86"/>
      <c r="N13" s="86"/>
      <c r="O13" s="86"/>
      <c r="P13" s="86"/>
    </row>
    <row r="14" spans="1:17" x14ac:dyDescent="0.2">
      <c r="B14" s="102" t="s">
        <v>139</v>
      </c>
      <c r="C14" s="102"/>
      <c r="D14" s="102"/>
      <c r="E14" s="102"/>
      <c r="F14" s="102"/>
      <c r="G14" s="102"/>
      <c r="H14" s="102"/>
      <c r="I14" s="43"/>
      <c r="J14" s="85"/>
      <c r="K14" s="86"/>
      <c r="L14" s="86"/>
      <c r="M14" s="86"/>
      <c r="N14" s="86"/>
      <c r="O14" s="86"/>
      <c r="P14" s="86"/>
    </row>
    <row r="15" spans="1:17" ht="13.5" customHeight="1" thickBot="1" x14ac:dyDescent="0.25">
      <c r="B15" s="103" t="s">
        <v>0</v>
      </c>
      <c r="C15" s="103"/>
      <c r="D15" s="103"/>
      <c r="E15" s="103"/>
      <c r="F15" s="103"/>
      <c r="G15" s="103"/>
      <c r="H15" s="103"/>
      <c r="I15" s="18"/>
      <c r="J15" s="18"/>
      <c r="K15" s="18"/>
      <c r="L15" s="18"/>
      <c r="M15" s="18"/>
      <c r="N15" s="18"/>
      <c r="O15" s="18"/>
      <c r="P15" s="18"/>
    </row>
    <row r="16" spans="1:17" s="44" customFormat="1" ht="25.5" customHeight="1" x14ac:dyDescent="0.3">
      <c r="A16" s="33"/>
      <c r="B16" s="100" t="s">
        <v>138</v>
      </c>
      <c r="C16" s="100"/>
      <c r="D16" s="100"/>
      <c r="E16" s="100"/>
      <c r="F16" s="100"/>
      <c r="G16" s="100"/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7" spans="1:17" s="44" customFormat="1" ht="28.5" customHeight="1" thickBot="1" x14ac:dyDescent="0.35">
      <c r="A17" s="33"/>
      <c r="B17" s="100" t="s">
        <v>132</v>
      </c>
      <c r="C17" s="100"/>
      <c r="D17" s="100"/>
      <c r="E17" s="100"/>
      <c r="F17" s="100"/>
      <c r="G17" s="100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1:17" s="44" customFormat="1" ht="26.25" thickBot="1" x14ac:dyDescent="0.25">
      <c r="A18" s="39"/>
      <c r="B18" s="34" t="s">
        <v>0</v>
      </c>
      <c r="C18" s="35"/>
      <c r="D18" s="97" t="s">
        <v>1</v>
      </c>
      <c r="E18" s="98"/>
      <c r="F18" s="99"/>
      <c r="G18" s="35"/>
      <c r="H18" s="36">
        <v>2023</v>
      </c>
      <c r="I18" s="36"/>
      <c r="J18" s="36"/>
      <c r="K18" s="36"/>
      <c r="L18" s="36"/>
      <c r="M18" s="36"/>
      <c r="N18" s="36"/>
      <c r="O18" s="36"/>
      <c r="P18" s="36"/>
      <c r="Q18" s="36"/>
    </row>
    <row r="19" spans="1:17" s="45" customFormat="1" ht="30.75" customHeight="1" x14ac:dyDescent="0.25">
      <c r="B19" s="46" t="s">
        <v>2</v>
      </c>
      <c r="C19" s="47" t="s">
        <v>110</v>
      </c>
      <c r="D19" s="48" t="s">
        <v>3</v>
      </c>
      <c r="E19" s="48" t="s">
        <v>4</v>
      </c>
      <c r="F19" s="49" t="s">
        <v>111</v>
      </c>
      <c r="G19" s="48" t="s">
        <v>5</v>
      </c>
      <c r="H19" s="48" t="s">
        <v>6</v>
      </c>
      <c r="I19" s="48" t="s">
        <v>140</v>
      </c>
      <c r="J19" s="48" t="s">
        <v>141</v>
      </c>
      <c r="K19" s="48" t="s">
        <v>143</v>
      </c>
      <c r="L19" s="48" t="s">
        <v>145</v>
      </c>
      <c r="M19" s="48" t="s">
        <v>146</v>
      </c>
      <c r="N19" s="48" t="s">
        <v>147</v>
      </c>
      <c r="O19" s="48" t="s">
        <v>148</v>
      </c>
      <c r="P19" s="48" t="s">
        <v>149</v>
      </c>
      <c r="Q19" s="48" t="s">
        <v>80</v>
      </c>
    </row>
    <row r="20" spans="1:17" s="44" customFormat="1" ht="12.75" x14ac:dyDescent="0.2">
      <c r="A20" s="39"/>
      <c r="B20" s="50" t="s">
        <v>7</v>
      </c>
      <c r="C20" s="51">
        <f>59602.79+1.93+59552+44400</f>
        <v>163556.72</v>
      </c>
      <c r="D20" s="15"/>
      <c r="E20" s="15"/>
      <c r="F20" s="15"/>
      <c r="G20" s="15">
        <f>+C20</f>
        <v>163556.72</v>
      </c>
      <c r="H20" s="15"/>
      <c r="I20" s="15"/>
      <c r="J20" s="15"/>
      <c r="K20" s="15"/>
      <c r="L20" s="15"/>
      <c r="M20" s="15"/>
      <c r="N20" s="15"/>
      <c r="O20" s="15"/>
      <c r="P20" s="15"/>
      <c r="Q20" s="15">
        <f>SUM(H20:H20)</f>
        <v>0</v>
      </c>
    </row>
    <row r="21" spans="1:17" s="44" customFormat="1" ht="12" customHeight="1" x14ac:dyDescent="0.2">
      <c r="A21" s="39"/>
      <c r="B21" s="52" t="s">
        <v>8</v>
      </c>
      <c r="C21" s="51">
        <v>4276114.22</v>
      </c>
      <c r="D21" s="51"/>
      <c r="E21" s="51"/>
      <c r="F21" s="51"/>
      <c r="G21" s="15">
        <f t="shared" ref="G21:G31" si="0">+C21+D21-E21+F21</f>
        <v>4276114.22</v>
      </c>
      <c r="H21" s="15">
        <f>250287.51+57661.56</f>
        <v>307949.07</v>
      </c>
      <c r="I21" s="15">
        <v>250287.51</v>
      </c>
      <c r="J21" s="15">
        <v>274302.38</v>
      </c>
      <c r="K21" s="15">
        <v>274302.38</v>
      </c>
      <c r="L21" s="15">
        <v>274302.38</v>
      </c>
      <c r="M21" s="15">
        <v>325313.96999999997</v>
      </c>
      <c r="N21" s="15">
        <f>333815.9+8501.93</f>
        <v>342317.83</v>
      </c>
      <c r="O21" s="15">
        <v>274302.38</v>
      </c>
      <c r="P21" s="15">
        <v>316812.03999999998</v>
      </c>
      <c r="Q21" s="15">
        <f>SUM(H21:P21)</f>
        <v>2639889.9400000004</v>
      </c>
    </row>
    <row r="22" spans="1:17" s="44" customFormat="1" ht="12.75" x14ac:dyDescent="0.2">
      <c r="A22" s="39"/>
      <c r="B22" s="52" t="s">
        <v>136</v>
      </c>
      <c r="C22" s="51"/>
      <c r="D22" s="51"/>
      <c r="E22" s="51"/>
      <c r="F22" s="51"/>
      <c r="G22" s="15">
        <f t="shared" si="0"/>
        <v>0</v>
      </c>
      <c r="H22" s="15"/>
      <c r="I22" s="15"/>
      <c r="J22" s="15"/>
      <c r="K22" s="15"/>
      <c r="L22" s="15"/>
      <c r="M22" s="15"/>
      <c r="N22" s="15"/>
      <c r="O22" s="15"/>
      <c r="P22" s="15"/>
      <c r="Q22" s="15">
        <f t="shared" ref="Q22:Q33" si="1">SUM(H22:P22)</f>
        <v>0</v>
      </c>
    </row>
    <row r="23" spans="1:17" s="44" customFormat="1" ht="23.25" customHeight="1" x14ac:dyDescent="0.2">
      <c r="A23" s="39"/>
      <c r="B23" s="52" t="s">
        <v>127</v>
      </c>
      <c r="C23" s="51">
        <v>55000</v>
      </c>
      <c r="D23" s="51"/>
      <c r="E23" s="51"/>
      <c r="F23" s="51"/>
      <c r="G23" s="15">
        <f t="shared" si="0"/>
        <v>55000</v>
      </c>
      <c r="H23" s="15"/>
      <c r="I23" s="15"/>
      <c r="J23" s="15"/>
      <c r="K23" s="15"/>
      <c r="L23" s="15"/>
      <c r="M23" s="15"/>
      <c r="N23" s="15"/>
      <c r="O23" s="15"/>
      <c r="P23" s="15"/>
      <c r="Q23" s="15">
        <f t="shared" si="1"/>
        <v>0</v>
      </c>
    </row>
    <row r="24" spans="1:17" s="44" customFormat="1" ht="25.5" x14ac:dyDescent="0.2">
      <c r="A24" s="39"/>
      <c r="B24" s="52" t="s">
        <v>9</v>
      </c>
      <c r="C24" s="15"/>
      <c r="D24" s="15"/>
      <c r="E24" s="15"/>
      <c r="F24" s="15"/>
      <c r="G24" s="15">
        <f t="shared" si="0"/>
        <v>0</v>
      </c>
      <c r="H24" s="15"/>
      <c r="I24" s="15"/>
      <c r="J24" s="15"/>
      <c r="K24" s="15"/>
      <c r="L24" s="15">
        <v>41119.82</v>
      </c>
      <c r="M24" s="15"/>
      <c r="N24" s="15"/>
      <c r="O24" s="15"/>
      <c r="P24" s="15"/>
      <c r="Q24" s="15">
        <f t="shared" si="1"/>
        <v>41119.82</v>
      </c>
    </row>
    <row r="25" spans="1:17" s="44" customFormat="1" ht="12.75" customHeight="1" x14ac:dyDescent="0.2">
      <c r="A25" s="39"/>
      <c r="B25" s="52" t="s">
        <v>133</v>
      </c>
      <c r="C25" s="15">
        <v>41119.82</v>
      </c>
      <c r="D25" s="15"/>
      <c r="E25" s="15"/>
      <c r="F25" s="15"/>
      <c r="G25" s="15">
        <f t="shared" si="0"/>
        <v>41119.82</v>
      </c>
      <c r="H25" s="15"/>
      <c r="I25" s="15"/>
      <c r="J25" s="15"/>
      <c r="K25" s="15"/>
      <c r="L25" s="15"/>
      <c r="M25" s="15"/>
      <c r="N25" s="15"/>
      <c r="O25" s="15"/>
      <c r="P25" s="15"/>
      <c r="Q25" s="15">
        <f t="shared" si="1"/>
        <v>0</v>
      </c>
    </row>
    <row r="26" spans="1:17" s="44" customFormat="1" ht="12.75" x14ac:dyDescent="0.2">
      <c r="A26" s="39"/>
      <c r="B26" s="52" t="s">
        <v>10</v>
      </c>
      <c r="C26" s="15">
        <v>422463.37</v>
      </c>
      <c r="D26" s="15"/>
      <c r="E26" s="15"/>
      <c r="F26" s="15"/>
      <c r="G26" s="15">
        <f t="shared" si="0"/>
        <v>422463.37</v>
      </c>
      <c r="H26" s="15"/>
      <c r="J26" s="15"/>
      <c r="K26" s="15">
        <v>137594.71</v>
      </c>
      <c r="L26" s="15">
        <v>108338.38</v>
      </c>
      <c r="M26" s="15">
        <v>88856.22</v>
      </c>
      <c r="N26" s="15"/>
      <c r="O26" s="15">
        <v>18831.47</v>
      </c>
      <c r="P26" s="15"/>
      <c r="Q26" s="15">
        <f t="shared" si="1"/>
        <v>353620.78</v>
      </c>
    </row>
    <row r="27" spans="1:17" s="44" customFormat="1" ht="12.75" x14ac:dyDescent="0.2">
      <c r="A27" s="39"/>
      <c r="B27" s="52" t="s">
        <v>130</v>
      </c>
      <c r="C27" s="15"/>
      <c r="D27" s="15"/>
      <c r="E27" s="15"/>
      <c r="F27" s="15"/>
      <c r="G27" s="15">
        <f t="shared" si="0"/>
        <v>0</v>
      </c>
      <c r="H27" s="15">
        <v>145711.51</v>
      </c>
      <c r="I27" s="15"/>
      <c r="J27" s="15"/>
      <c r="K27" s="15"/>
      <c r="L27" s="15"/>
      <c r="M27" s="15"/>
      <c r="N27" s="15"/>
      <c r="O27" s="15"/>
      <c r="P27" s="15"/>
      <c r="Q27" s="15">
        <f t="shared" si="1"/>
        <v>145711.51</v>
      </c>
    </row>
    <row r="28" spans="1:17" s="44" customFormat="1" ht="25.5" x14ac:dyDescent="0.2">
      <c r="A28" s="39"/>
      <c r="B28" s="52" t="s">
        <v>11</v>
      </c>
      <c r="C28" s="51">
        <v>10000</v>
      </c>
      <c r="D28" s="51"/>
      <c r="E28" s="51"/>
      <c r="F28" s="51"/>
      <c r="G28" s="15">
        <f t="shared" si="0"/>
        <v>10000</v>
      </c>
      <c r="H28" s="15">
        <v>200</v>
      </c>
      <c r="I28" s="15">
        <v>100</v>
      </c>
      <c r="J28" s="15">
        <v>1500</v>
      </c>
      <c r="K28" s="15">
        <v>1600</v>
      </c>
      <c r="L28" s="15"/>
      <c r="M28" s="15"/>
      <c r="N28" s="15">
        <v>800</v>
      </c>
      <c r="O28" s="15"/>
      <c r="P28" s="15"/>
      <c r="Q28" s="15">
        <f t="shared" si="1"/>
        <v>4200</v>
      </c>
    </row>
    <row r="29" spans="1:17" s="44" customFormat="1" ht="12.75" x14ac:dyDescent="0.2">
      <c r="A29" s="39"/>
      <c r="B29" s="52" t="s">
        <v>12</v>
      </c>
      <c r="C29" s="51">
        <v>4000</v>
      </c>
      <c r="D29" s="51"/>
      <c r="E29" s="51"/>
      <c r="F29" s="51"/>
      <c r="G29" s="15">
        <f t="shared" si="0"/>
        <v>4000</v>
      </c>
      <c r="H29" s="15">
        <v>375.54</v>
      </c>
      <c r="I29" s="15">
        <v>436.48</v>
      </c>
      <c r="J29" s="15">
        <v>1107.24</v>
      </c>
      <c r="K29" s="15">
        <v>712.53</v>
      </c>
      <c r="L29" s="15">
        <v>525</v>
      </c>
      <c r="M29" s="15">
        <v>847.61</v>
      </c>
      <c r="N29" s="15">
        <v>1430.58</v>
      </c>
      <c r="O29" s="15">
        <v>1139.3800000000001</v>
      </c>
      <c r="P29" s="15">
        <v>1108.5999999999999</v>
      </c>
      <c r="Q29" s="15">
        <f t="shared" si="1"/>
        <v>7682.9599999999991</v>
      </c>
    </row>
    <row r="30" spans="1:17" s="44" customFormat="1" ht="25.5" x14ac:dyDescent="0.2">
      <c r="A30" s="39"/>
      <c r="B30" s="52" t="s">
        <v>112</v>
      </c>
      <c r="C30" s="15"/>
      <c r="D30" s="53"/>
      <c r="E30" s="53"/>
      <c r="F30" s="53"/>
      <c r="G30" s="15">
        <f t="shared" si="0"/>
        <v>0</v>
      </c>
      <c r="H30" s="15">
        <v>1352.39</v>
      </c>
      <c r="I30" s="15">
        <v>1352.41</v>
      </c>
      <c r="J30" s="15">
        <v>1352.41</v>
      </c>
      <c r="K30" s="15">
        <v>1352.41</v>
      </c>
      <c r="L30" s="15">
        <v>1352.41</v>
      </c>
      <c r="M30" s="15">
        <v>1352.41</v>
      </c>
      <c r="N30" s="15">
        <v>1352.41</v>
      </c>
      <c r="O30" s="15">
        <v>1352.41</v>
      </c>
      <c r="P30" s="15">
        <v>1352.41</v>
      </c>
      <c r="Q30" s="15">
        <f t="shared" si="1"/>
        <v>12171.67</v>
      </c>
    </row>
    <row r="31" spans="1:17" s="44" customFormat="1" ht="25.5" x14ac:dyDescent="0.2">
      <c r="A31" s="39"/>
      <c r="B31" s="52" t="s">
        <v>13</v>
      </c>
      <c r="C31" s="15"/>
      <c r="D31" s="15"/>
      <c r="E31" s="15"/>
      <c r="F31" s="15"/>
      <c r="G31" s="15">
        <f t="shared" si="0"/>
        <v>0</v>
      </c>
      <c r="H31" s="15"/>
      <c r="I31" s="15">
        <v>15.43</v>
      </c>
      <c r="J31" s="15"/>
      <c r="K31" s="15"/>
      <c r="L31" s="15"/>
      <c r="M31" s="15"/>
      <c r="N31" s="15"/>
      <c r="O31" s="15"/>
      <c r="P31" s="15">
        <f>+'[1]Forma 200-A-3 Ingresos (3)'!F31</f>
        <v>0</v>
      </c>
      <c r="Q31" s="15">
        <f t="shared" si="1"/>
        <v>15.43</v>
      </c>
    </row>
    <row r="32" spans="1:17" s="44" customFormat="1" ht="12.75" x14ac:dyDescent="0.2">
      <c r="A32" s="39"/>
      <c r="B32" s="52" t="s">
        <v>128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>
        <f t="shared" si="1"/>
        <v>0</v>
      </c>
    </row>
    <row r="33" spans="1:17" s="44" customFormat="1" ht="12.75" x14ac:dyDescent="0.2">
      <c r="A33" s="39"/>
      <c r="B33" s="52" t="s">
        <v>113</v>
      </c>
      <c r="C33" s="15"/>
      <c r="D33" s="15"/>
      <c r="E33" s="15"/>
      <c r="F33" s="15"/>
      <c r="G33" s="15">
        <f>C33+D33+E33-+F33</f>
        <v>0</v>
      </c>
      <c r="H33" s="15">
        <v>3276.03</v>
      </c>
      <c r="I33" s="15">
        <v>3534.58</v>
      </c>
      <c r="J33" s="15">
        <v>6441.41</v>
      </c>
      <c r="K33" s="15">
        <v>4744.5</v>
      </c>
      <c r="L33" s="15">
        <v>3552.27</v>
      </c>
      <c r="M33" s="15">
        <v>3552.27</v>
      </c>
      <c r="N33" s="93">
        <v>8718.6</v>
      </c>
      <c r="O33" s="15">
        <v>4297.45</v>
      </c>
      <c r="P33" s="15">
        <v>9879.84</v>
      </c>
      <c r="Q33" s="15">
        <f t="shared" si="1"/>
        <v>47996.95</v>
      </c>
    </row>
    <row r="34" spans="1:17" s="44" customFormat="1" ht="17.25" customHeight="1" thickBot="1" x14ac:dyDescent="0.25">
      <c r="A34" s="39"/>
      <c r="B34" s="54" t="s">
        <v>14</v>
      </c>
      <c r="C34" s="55">
        <f t="shared" ref="C34:Q34" si="2">SUM(C20:C33)</f>
        <v>4972254.13</v>
      </c>
      <c r="D34" s="55">
        <f t="shared" si="2"/>
        <v>0</v>
      </c>
      <c r="E34" s="55">
        <f t="shared" si="2"/>
        <v>0</v>
      </c>
      <c r="F34" s="55">
        <f t="shared" si="2"/>
        <v>0</v>
      </c>
      <c r="G34" s="55">
        <f t="shared" si="2"/>
        <v>4972254.13</v>
      </c>
      <c r="H34" s="55">
        <f t="shared" si="2"/>
        <v>458864.54000000004</v>
      </c>
      <c r="I34" s="55">
        <f t="shared" si="2"/>
        <v>255726.41</v>
      </c>
      <c r="J34" s="55">
        <f t="shared" si="2"/>
        <v>284703.43999999994</v>
      </c>
      <c r="K34" s="55">
        <f t="shared" si="2"/>
        <v>420306.52999999997</v>
      </c>
      <c r="L34" s="55">
        <f t="shared" si="2"/>
        <v>429190.26</v>
      </c>
      <c r="M34" s="55">
        <f t="shared" si="2"/>
        <v>419922.47999999992</v>
      </c>
      <c r="N34" s="55">
        <f t="shared" si="2"/>
        <v>354619.42</v>
      </c>
      <c r="O34" s="55">
        <f t="shared" si="2"/>
        <v>299923.08999999997</v>
      </c>
      <c r="P34" s="55">
        <f t="shared" si="2"/>
        <v>329152.88999999996</v>
      </c>
      <c r="Q34" s="55">
        <f t="shared" si="2"/>
        <v>3252409.06</v>
      </c>
    </row>
    <row r="35" spans="1:17" ht="12.75" x14ac:dyDescent="0.2">
      <c r="B35" s="2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  <row r="36" spans="1:17" x14ac:dyDescent="0.2">
      <c r="B36" s="4" t="s">
        <v>81</v>
      </c>
      <c r="C36" s="4"/>
      <c r="D36" s="4"/>
      <c r="E36" s="4"/>
      <c r="F36" s="4"/>
      <c r="G36" s="4"/>
      <c r="H36" s="4"/>
      <c r="I36" s="43"/>
      <c r="J36" s="85"/>
      <c r="K36" s="86"/>
      <c r="L36" s="86"/>
      <c r="M36" s="86"/>
      <c r="N36" s="86"/>
      <c r="O36" s="86"/>
      <c r="P36" s="86"/>
    </row>
    <row r="37" spans="1:17" x14ac:dyDescent="0.2">
      <c r="B37" s="4" t="s">
        <v>74</v>
      </c>
      <c r="C37" s="4"/>
      <c r="D37" s="4"/>
      <c r="E37" s="4"/>
      <c r="F37" s="4"/>
      <c r="G37" s="4"/>
      <c r="H37" s="4"/>
      <c r="I37" s="43"/>
      <c r="J37" s="85"/>
      <c r="K37" s="86"/>
      <c r="L37" s="86"/>
      <c r="M37" s="86"/>
      <c r="N37" s="86"/>
      <c r="O37" s="86"/>
      <c r="P37" s="86"/>
    </row>
    <row r="38" spans="1:17" x14ac:dyDescent="0.2">
      <c r="B38" s="4" t="s">
        <v>75</v>
      </c>
      <c r="C38" s="4"/>
      <c r="D38" s="4"/>
      <c r="E38" s="4"/>
      <c r="F38" s="4"/>
      <c r="G38" s="4"/>
      <c r="H38" s="4"/>
      <c r="I38" s="43"/>
      <c r="J38" s="85"/>
      <c r="K38" s="86"/>
      <c r="L38" s="86"/>
      <c r="M38" s="86"/>
      <c r="N38" s="86"/>
      <c r="O38" s="86"/>
      <c r="P38" s="86"/>
    </row>
    <row r="39" spans="1:17" x14ac:dyDescent="0.2">
      <c r="B39" s="102" t="s">
        <v>76</v>
      </c>
      <c r="C39" s="102"/>
      <c r="D39" s="102"/>
      <c r="E39" s="102"/>
      <c r="F39" s="102"/>
      <c r="G39" s="102"/>
      <c r="H39" s="102"/>
      <c r="I39" s="43"/>
      <c r="J39" s="85"/>
      <c r="K39" s="86"/>
      <c r="L39" s="86"/>
      <c r="M39" s="86"/>
      <c r="N39" s="86"/>
      <c r="O39" s="86"/>
      <c r="P39" s="86"/>
    </row>
    <row r="40" spans="1:17" x14ac:dyDescent="0.2">
      <c r="B40" s="4" t="s">
        <v>137</v>
      </c>
      <c r="C40" s="4"/>
      <c r="D40" s="4"/>
      <c r="E40" s="4"/>
      <c r="F40" s="4"/>
      <c r="G40" s="4"/>
      <c r="H40" s="4"/>
      <c r="I40" s="43"/>
      <c r="J40" s="85"/>
      <c r="K40" s="86"/>
      <c r="L40" s="86"/>
      <c r="M40" s="86"/>
      <c r="N40" s="86"/>
      <c r="O40" s="86"/>
      <c r="P40" s="86"/>
    </row>
    <row r="41" spans="1:17" x14ac:dyDescent="0.2">
      <c r="B41" s="4" t="s">
        <v>109</v>
      </c>
      <c r="C41" s="4"/>
      <c r="D41" s="4"/>
      <c r="E41" s="4"/>
      <c r="F41" s="4"/>
      <c r="G41" s="4"/>
      <c r="H41" s="4"/>
      <c r="I41" s="43"/>
      <c r="J41" s="85"/>
      <c r="K41" s="86"/>
      <c r="L41" s="86"/>
      <c r="M41" s="86"/>
      <c r="N41" s="86"/>
      <c r="O41" s="86"/>
      <c r="P41" s="86"/>
    </row>
    <row r="42" spans="1:17" x14ac:dyDescent="0.2">
      <c r="B42" s="4" t="s">
        <v>135</v>
      </c>
      <c r="C42" s="4"/>
      <c r="D42" s="4"/>
      <c r="E42" s="4"/>
      <c r="F42" s="4"/>
      <c r="G42" s="4"/>
      <c r="H42" s="4"/>
      <c r="I42" s="43"/>
      <c r="J42" s="85"/>
      <c r="K42" s="86"/>
      <c r="L42" s="86"/>
      <c r="M42" s="86"/>
      <c r="N42" s="86"/>
      <c r="O42" s="86"/>
      <c r="P42" s="86"/>
    </row>
    <row r="43" spans="1:17" x14ac:dyDescent="0.2">
      <c r="B43" s="4" t="s">
        <v>150</v>
      </c>
      <c r="C43" s="4"/>
      <c r="D43" s="4"/>
      <c r="E43" s="4"/>
      <c r="F43" s="4"/>
      <c r="G43" s="4"/>
      <c r="H43" s="4"/>
      <c r="I43" s="43"/>
      <c r="J43" s="85"/>
      <c r="K43" s="86"/>
      <c r="L43" s="86"/>
      <c r="M43" s="86"/>
      <c r="N43" s="86"/>
      <c r="O43" s="86"/>
      <c r="P43" s="86"/>
    </row>
    <row r="44" spans="1:17" x14ac:dyDescent="0.2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x14ac:dyDescent="0.2">
      <c r="B45" s="102" t="s">
        <v>77</v>
      </c>
      <c r="C45" s="102"/>
      <c r="D45" s="102"/>
      <c r="E45" s="102"/>
      <c r="F45" s="102"/>
      <c r="G45" s="102"/>
      <c r="H45" s="102"/>
      <c r="I45" s="43"/>
      <c r="J45" s="85"/>
      <c r="K45" s="86"/>
      <c r="L45" s="86"/>
      <c r="M45" s="86"/>
      <c r="N45" s="86"/>
      <c r="O45" s="86"/>
      <c r="P45" s="86"/>
    </row>
    <row r="46" spans="1:17" x14ac:dyDescent="0.2">
      <c r="B46" s="102" t="s">
        <v>78</v>
      </c>
      <c r="C46" s="102"/>
      <c r="D46" s="102"/>
      <c r="E46" s="102"/>
      <c r="F46" s="102"/>
      <c r="G46" s="102"/>
      <c r="H46" s="102"/>
      <c r="I46" s="43"/>
      <c r="J46" s="85"/>
      <c r="K46" s="86"/>
      <c r="L46" s="86"/>
      <c r="M46" s="86"/>
      <c r="N46" s="86"/>
      <c r="O46" s="86"/>
      <c r="P46" s="86"/>
    </row>
    <row r="47" spans="1:17" x14ac:dyDescent="0.2">
      <c r="B47" s="6"/>
      <c r="C47" s="6"/>
      <c r="D47" s="6"/>
      <c r="E47" s="6"/>
      <c r="F47" s="6"/>
      <c r="G47" s="6"/>
      <c r="H47" s="6"/>
      <c r="I47" s="43"/>
      <c r="J47" s="85"/>
      <c r="K47" s="86"/>
      <c r="L47" s="86"/>
      <c r="M47" s="86"/>
      <c r="N47" s="86"/>
      <c r="O47" s="86"/>
      <c r="P47" s="86"/>
      <c r="Q47" s="43"/>
    </row>
    <row r="48" spans="1:17" x14ac:dyDescent="0.2">
      <c r="B48" s="102" t="s">
        <v>79</v>
      </c>
      <c r="C48" s="102"/>
      <c r="D48" s="102"/>
      <c r="E48" s="102"/>
      <c r="F48" s="102"/>
      <c r="G48" s="102"/>
      <c r="H48" s="102"/>
      <c r="I48" s="43"/>
      <c r="J48" s="85"/>
      <c r="K48" s="86"/>
      <c r="L48" s="86"/>
      <c r="M48" s="86"/>
      <c r="N48" s="86"/>
      <c r="O48" s="86"/>
      <c r="P48" s="86"/>
    </row>
    <row r="49" spans="1:17" x14ac:dyDescent="0.2">
      <c r="B49" s="102"/>
      <c r="C49" s="102"/>
      <c r="D49" s="102"/>
      <c r="E49" s="102"/>
      <c r="F49" s="102"/>
      <c r="G49" s="102"/>
      <c r="H49" s="102"/>
      <c r="I49" s="43"/>
      <c r="J49" s="85"/>
      <c r="K49" s="86"/>
      <c r="L49" s="86"/>
      <c r="M49" s="86"/>
      <c r="N49" s="86"/>
      <c r="O49" s="86"/>
      <c r="P49" s="86"/>
    </row>
    <row r="50" spans="1:17" ht="12.75" thickBot="1" x14ac:dyDescent="0.25">
      <c r="A50" s="37"/>
      <c r="B50" s="101"/>
      <c r="C50" s="101"/>
      <c r="D50" s="101"/>
      <c r="E50" s="101"/>
      <c r="F50" s="101"/>
      <c r="G50" s="101"/>
      <c r="H50" s="38"/>
      <c r="I50" s="38"/>
      <c r="J50" s="38"/>
      <c r="K50" s="38"/>
      <c r="L50" s="38"/>
      <c r="M50" s="38"/>
      <c r="N50" s="38"/>
      <c r="O50" s="38"/>
      <c r="P50" s="38"/>
      <c r="Q50" s="38"/>
    </row>
    <row r="51" spans="1:17" ht="12.75" x14ac:dyDescent="0.2">
      <c r="A51" s="39"/>
      <c r="B51" s="34"/>
      <c r="C51" s="35"/>
      <c r="D51" s="97" t="s">
        <v>1</v>
      </c>
      <c r="E51" s="98"/>
      <c r="F51" s="99"/>
      <c r="G51" s="35"/>
      <c r="H51" s="36">
        <v>2023</v>
      </c>
      <c r="I51" s="36"/>
      <c r="J51" s="36"/>
      <c r="K51" s="36"/>
      <c r="L51" s="36"/>
      <c r="M51" s="36"/>
      <c r="N51" s="36"/>
      <c r="O51" s="36"/>
      <c r="P51" s="36"/>
      <c r="Q51" s="36"/>
    </row>
    <row r="52" spans="1:17" ht="27" customHeight="1" thickBot="1" x14ac:dyDescent="0.25">
      <c r="A52" s="22"/>
      <c r="B52" s="64" t="s">
        <v>2</v>
      </c>
      <c r="C52" s="65" t="s">
        <v>110</v>
      </c>
      <c r="D52" s="66" t="s">
        <v>3</v>
      </c>
      <c r="E52" s="66" t="s">
        <v>4</v>
      </c>
      <c r="F52" s="67" t="s">
        <v>111</v>
      </c>
      <c r="G52" s="68" t="s">
        <v>5</v>
      </c>
      <c r="H52" s="68" t="s">
        <v>6</v>
      </c>
      <c r="I52" s="68" t="s">
        <v>140</v>
      </c>
      <c r="J52" s="68" t="s">
        <v>141</v>
      </c>
      <c r="K52" s="68" t="s">
        <v>143</v>
      </c>
      <c r="L52" s="68" t="s">
        <v>145</v>
      </c>
      <c r="M52" s="68" t="s">
        <v>146</v>
      </c>
      <c r="N52" s="68" t="s">
        <v>147</v>
      </c>
      <c r="O52" s="68" t="s">
        <v>148</v>
      </c>
      <c r="P52" s="68" t="s">
        <v>149</v>
      </c>
      <c r="Q52" s="68" t="s">
        <v>80</v>
      </c>
    </row>
    <row r="53" spans="1:17" x14ac:dyDescent="0.2">
      <c r="A53" s="59">
        <v>0</v>
      </c>
      <c r="B53" s="69" t="s">
        <v>16</v>
      </c>
      <c r="C53" s="70"/>
      <c r="D53" s="8"/>
      <c r="E53" s="8"/>
      <c r="F53" s="8"/>
      <c r="G53" s="9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ht="12.75" x14ac:dyDescent="0.2">
      <c r="A54" s="30">
        <v>11</v>
      </c>
      <c r="B54" s="71" t="s">
        <v>17</v>
      </c>
      <c r="C54" s="19">
        <v>204600</v>
      </c>
      <c r="D54" s="9"/>
      <c r="E54" s="9"/>
      <c r="F54" s="9"/>
      <c r="G54" s="9">
        <f t="shared" ref="G54:G90" si="3">+C54+D54-E54+F54</f>
        <v>204600</v>
      </c>
      <c r="H54" s="87">
        <f>3169.5+4555.5+5494.5+3830</f>
        <v>17049.5</v>
      </c>
      <c r="I54" s="81">
        <f>10050+7000</f>
        <v>17050</v>
      </c>
      <c r="J54" s="7">
        <f>8525+8525</f>
        <v>17050</v>
      </c>
      <c r="K54" s="7">
        <v>17050</v>
      </c>
      <c r="L54" s="7">
        <f>8525+8525</f>
        <v>17050</v>
      </c>
      <c r="M54" s="7">
        <f>8525+8525</f>
        <v>17050</v>
      </c>
      <c r="N54" s="7">
        <f>8525+8525</f>
        <v>17050</v>
      </c>
      <c r="O54" s="7">
        <f>8525+8525</f>
        <v>17050</v>
      </c>
      <c r="P54" s="7">
        <f>8525+8525</f>
        <v>17050</v>
      </c>
      <c r="Q54" s="15">
        <f>SUM(H54:P54)</f>
        <v>153449.5</v>
      </c>
    </row>
    <row r="55" spans="1:17" ht="22.5" x14ac:dyDescent="0.2">
      <c r="A55" s="30">
        <v>15</v>
      </c>
      <c r="B55" s="71" t="s">
        <v>18</v>
      </c>
      <c r="C55" s="19">
        <v>6000</v>
      </c>
      <c r="D55" s="9"/>
      <c r="E55" s="9"/>
      <c r="F55" s="9"/>
      <c r="G55" s="9">
        <f t="shared" si="3"/>
        <v>6000</v>
      </c>
      <c r="H55" s="87">
        <f>125+125+125+125</f>
        <v>500</v>
      </c>
      <c r="I55" s="81">
        <f>250+250</f>
        <v>500</v>
      </c>
      <c r="J55" s="7">
        <f>250+250</f>
        <v>500</v>
      </c>
      <c r="K55" s="7">
        <v>500</v>
      </c>
      <c r="L55" s="7">
        <f>250+250</f>
        <v>500</v>
      </c>
      <c r="M55" s="7">
        <f>250+250</f>
        <v>500</v>
      </c>
      <c r="N55" s="7">
        <f>250+250</f>
        <v>500</v>
      </c>
      <c r="O55" s="7">
        <f>125+250+125</f>
        <v>500</v>
      </c>
      <c r="P55" s="7">
        <f>250+250</f>
        <v>500</v>
      </c>
      <c r="Q55" s="15">
        <f t="shared" ref="Q55:Q118" si="4">SUM(H55:P55)</f>
        <v>4500</v>
      </c>
    </row>
    <row r="56" spans="1:17" ht="12.75" x14ac:dyDescent="0.2">
      <c r="A56" s="30">
        <v>22</v>
      </c>
      <c r="B56" s="71" t="s">
        <v>19</v>
      </c>
      <c r="C56" s="19">
        <v>131160</v>
      </c>
      <c r="D56" s="9"/>
      <c r="E56" s="9"/>
      <c r="F56" s="9"/>
      <c r="G56" s="9">
        <f t="shared" si="3"/>
        <v>131160</v>
      </c>
      <c r="H56" s="87">
        <f>2375+5600+2975</f>
        <v>10950</v>
      </c>
      <c r="I56" s="81">
        <f>5600+5350</f>
        <v>10950</v>
      </c>
      <c r="J56" s="7">
        <f>5475+5475</f>
        <v>10950</v>
      </c>
      <c r="K56" s="7">
        <v>10950</v>
      </c>
      <c r="L56" s="7">
        <f>5475+5475</f>
        <v>10950</v>
      </c>
      <c r="M56" s="7">
        <f>5475+5475</f>
        <v>10950</v>
      </c>
      <c r="N56" s="7">
        <f>5475+5475</f>
        <v>10950</v>
      </c>
      <c r="O56" s="81">
        <f>5475+5475</f>
        <v>10950</v>
      </c>
      <c r="P56" s="81">
        <f>5475+5475</f>
        <v>10950</v>
      </c>
      <c r="Q56" s="15">
        <f t="shared" si="4"/>
        <v>98550</v>
      </c>
    </row>
    <row r="57" spans="1:17" ht="22.5" x14ac:dyDescent="0.2">
      <c r="A57" s="30">
        <v>27</v>
      </c>
      <c r="B57" s="71" t="s">
        <v>20</v>
      </c>
      <c r="C57" s="19">
        <v>6000</v>
      </c>
      <c r="D57" s="9"/>
      <c r="E57" s="9"/>
      <c r="F57" s="9"/>
      <c r="G57" s="9">
        <f t="shared" si="3"/>
        <v>6000</v>
      </c>
      <c r="H57" s="87">
        <f>125+125+250</f>
        <v>500</v>
      </c>
      <c r="I57" s="81">
        <f>250+250</f>
        <v>500</v>
      </c>
      <c r="J57" s="7">
        <f>250+250</f>
        <v>500</v>
      </c>
      <c r="K57" s="7">
        <v>500</v>
      </c>
      <c r="L57" s="7">
        <f>250+250</f>
        <v>500</v>
      </c>
      <c r="M57" s="7">
        <f>250+250</f>
        <v>500</v>
      </c>
      <c r="N57" s="7">
        <f>250+250</f>
        <v>500</v>
      </c>
      <c r="O57" s="81">
        <f>250+250</f>
        <v>500</v>
      </c>
      <c r="P57" s="81">
        <f>250+250</f>
        <v>500</v>
      </c>
      <c r="Q57" s="15">
        <f t="shared" si="4"/>
        <v>4500</v>
      </c>
    </row>
    <row r="58" spans="1:17" ht="12.75" x14ac:dyDescent="0.2">
      <c r="A58" s="30">
        <v>51</v>
      </c>
      <c r="B58" s="71" t="s">
        <v>21</v>
      </c>
      <c r="C58" s="19">
        <v>36497.11</v>
      </c>
      <c r="D58" s="9"/>
      <c r="E58" s="9"/>
      <c r="F58" s="9"/>
      <c r="G58" s="9">
        <f t="shared" si="3"/>
        <v>36497.11</v>
      </c>
      <c r="H58" s="87">
        <v>2692.04</v>
      </c>
      <c r="I58" s="81">
        <v>2987.61</v>
      </c>
      <c r="J58" s="7">
        <v>2987.6</v>
      </c>
      <c r="K58" s="7">
        <v>2987.6</v>
      </c>
      <c r="L58" s="7">
        <v>2987.6</v>
      </c>
      <c r="M58" s="7">
        <v>2987.6</v>
      </c>
      <c r="N58" s="7">
        <v>2987.6</v>
      </c>
      <c r="O58" s="81">
        <v>2987.6</v>
      </c>
      <c r="P58" s="81">
        <v>2987.6</v>
      </c>
      <c r="Q58" s="15">
        <f t="shared" si="4"/>
        <v>26592.849999999995</v>
      </c>
    </row>
    <row r="59" spans="1:17" ht="12.75" x14ac:dyDescent="0.2">
      <c r="A59" s="30">
        <v>61</v>
      </c>
      <c r="B59" s="71" t="s">
        <v>22</v>
      </c>
      <c r="C59" s="19">
        <v>328300</v>
      </c>
      <c r="D59" s="9"/>
      <c r="E59" s="9"/>
      <c r="F59" s="9"/>
      <c r="G59" s="9">
        <f t="shared" si="3"/>
        <v>328300</v>
      </c>
      <c r="H59" s="87">
        <f>15400+12000</f>
        <v>27400</v>
      </c>
      <c r="I59" s="81">
        <f>8400+19000</f>
        <v>27400</v>
      </c>
      <c r="J59" s="7">
        <f>21400+6000</f>
        <v>27400</v>
      </c>
      <c r="K59" s="7">
        <v>27400</v>
      </c>
      <c r="L59" s="7">
        <v>27400</v>
      </c>
      <c r="M59" s="7">
        <v>27400</v>
      </c>
      <c r="N59" s="7">
        <v>27400</v>
      </c>
      <c r="O59" s="81">
        <v>27400</v>
      </c>
      <c r="P59" s="81">
        <v>27400</v>
      </c>
      <c r="Q59" s="15">
        <f t="shared" si="4"/>
        <v>246600</v>
      </c>
    </row>
    <row r="60" spans="1:17" ht="22.5" x14ac:dyDescent="0.2">
      <c r="A60" s="30">
        <v>63</v>
      </c>
      <c r="B60" s="71" t="s">
        <v>23</v>
      </c>
      <c r="C60" s="19">
        <v>120000</v>
      </c>
      <c r="D60" s="9"/>
      <c r="E60" s="9"/>
      <c r="F60" s="9"/>
      <c r="G60" s="9">
        <f t="shared" si="3"/>
        <v>120000</v>
      </c>
      <c r="H60" s="87">
        <v>10000</v>
      </c>
      <c r="I60" s="81">
        <v>10000</v>
      </c>
      <c r="J60" s="7">
        <v>10000</v>
      </c>
      <c r="K60" s="7">
        <v>10000</v>
      </c>
      <c r="L60" s="7">
        <v>10000</v>
      </c>
      <c r="M60" s="7">
        <v>10000</v>
      </c>
      <c r="N60" s="7">
        <v>10000</v>
      </c>
      <c r="O60" s="7">
        <v>10000</v>
      </c>
      <c r="P60" s="7">
        <v>10000</v>
      </c>
      <c r="Q60" s="15">
        <f t="shared" si="4"/>
        <v>90000</v>
      </c>
    </row>
    <row r="61" spans="1:17" ht="12.75" x14ac:dyDescent="0.2">
      <c r="A61" s="30" t="s">
        <v>83</v>
      </c>
      <c r="B61" s="71" t="s">
        <v>24</v>
      </c>
      <c r="C61" s="19">
        <v>33545.160000000003</v>
      </c>
      <c r="D61" s="9"/>
      <c r="E61" s="9"/>
      <c r="F61" s="20"/>
      <c r="G61" s="9">
        <f t="shared" si="3"/>
        <v>33545.160000000003</v>
      </c>
      <c r="H61" s="87"/>
      <c r="I61" s="81"/>
      <c r="J61" s="7"/>
      <c r="K61" s="7"/>
      <c r="L61" s="7"/>
      <c r="M61" s="94"/>
      <c r="N61" s="7"/>
      <c r="O61" s="81"/>
      <c r="P61" s="81"/>
      <c r="Q61" s="15">
        <f t="shared" si="4"/>
        <v>0</v>
      </c>
    </row>
    <row r="62" spans="1:17" ht="12.75" x14ac:dyDescent="0.2">
      <c r="A62" s="30">
        <v>72</v>
      </c>
      <c r="B62" s="71" t="s">
        <v>25</v>
      </c>
      <c r="C62" s="19">
        <v>33545.160000000003</v>
      </c>
      <c r="D62" s="9"/>
      <c r="E62" s="9"/>
      <c r="F62" s="9"/>
      <c r="G62" s="9">
        <f t="shared" si="3"/>
        <v>33545.160000000003</v>
      </c>
      <c r="H62" s="87"/>
      <c r="I62" s="81"/>
      <c r="J62" s="7"/>
      <c r="K62" s="7"/>
      <c r="L62" s="7"/>
      <c r="M62" s="7"/>
      <c r="N62" s="7">
        <f>2776.99+2653.01+6669.5+4983.7</f>
        <v>17083.2</v>
      </c>
      <c r="O62" s="81"/>
      <c r="P62" s="81"/>
      <c r="Q62" s="15">
        <f t="shared" si="4"/>
        <v>17083.2</v>
      </c>
    </row>
    <row r="63" spans="1:17" ht="12.75" x14ac:dyDescent="0.2">
      <c r="A63" s="60" t="s">
        <v>84</v>
      </c>
      <c r="B63" s="71" t="s">
        <v>26</v>
      </c>
      <c r="C63" s="19">
        <v>50000</v>
      </c>
      <c r="D63" s="9"/>
      <c r="E63" s="9"/>
      <c r="F63" s="9"/>
      <c r="G63" s="9">
        <f t="shared" si="3"/>
        <v>50000</v>
      </c>
      <c r="H63" s="87"/>
      <c r="I63" s="81"/>
      <c r="J63" s="7">
        <v>7800</v>
      </c>
      <c r="K63" s="7"/>
      <c r="L63" s="7"/>
      <c r="M63" s="7"/>
      <c r="N63" s="7"/>
      <c r="O63" s="81">
        <v>7400</v>
      </c>
      <c r="P63" s="81"/>
      <c r="Q63" s="15">
        <f t="shared" si="4"/>
        <v>15200</v>
      </c>
    </row>
    <row r="64" spans="1:17" ht="12.75" x14ac:dyDescent="0.2">
      <c r="A64" s="30" t="s">
        <v>85</v>
      </c>
      <c r="B64" s="71" t="s">
        <v>27</v>
      </c>
      <c r="C64" s="9">
        <v>0</v>
      </c>
      <c r="D64" s="9"/>
      <c r="E64" s="9"/>
      <c r="F64" s="9"/>
      <c r="G64" s="9">
        <f t="shared" si="3"/>
        <v>0</v>
      </c>
      <c r="H64" s="87"/>
      <c r="I64" s="81"/>
      <c r="J64" s="7"/>
      <c r="K64" s="7"/>
      <c r="L64" s="7"/>
      <c r="M64" s="7"/>
      <c r="N64" s="7"/>
      <c r="O64" s="81"/>
      <c r="P64" s="81"/>
      <c r="Q64" s="15">
        <f t="shared" si="4"/>
        <v>0</v>
      </c>
    </row>
    <row r="65" spans="1:17" ht="12.75" x14ac:dyDescent="0.2">
      <c r="A65" s="30">
        <v>111</v>
      </c>
      <c r="B65" s="71" t="s">
        <v>28</v>
      </c>
      <c r="C65" s="9">
        <v>3800</v>
      </c>
      <c r="D65" s="9"/>
      <c r="E65" s="9"/>
      <c r="F65" s="9"/>
      <c r="G65" s="9">
        <f t="shared" si="3"/>
        <v>3800</v>
      </c>
      <c r="H65" s="87">
        <v>296.73</v>
      </c>
      <c r="I65" s="81">
        <v>367.21</v>
      </c>
      <c r="J65" s="7"/>
      <c r="K65" s="7">
        <v>698.04</v>
      </c>
      <c r="L65" s="7"/>
      <c r="M65" s="7">
        <v>347.88</v>
      </c>
      <c r="N65" s="7">
        <v>306.57</v>
      </c>
      <c r="O65" s="81">
        <f>310.03+337.71</f>
        <v>647.74</v>
      </c>
      <c r="P65" s="81"/>
      <c r="Q65" s="15">
        <f t="shared" si="4"/>
        <v>2664.17</v>
      </c>
    </row>
    <row r="66" spans="1:17" s="3" customFormat="1" ht="12.75" x14ac:dyDescent="0.2">
      <c r="A66" s="30">
        <v>112</v>
      </c>
      <c r="B66" s="71" t="s">
        <v>29</v>
      </c>
      <c r="C66" s="9">
        <v>5000</v>
      </c>
      <c r="D66" s="9"/>
      <c r="E66" s="9"/>
      <c r="F66" s="9"/>
      <c r="G66" s="9">
        <f t="shared" si="3"/>
        <v>5000</v>
      </c>
      <c r="H66" s="87"/>
      <c r="I66" s="81">
        <v>448.62</v>
      </c>
      <c r="J66" s="7"/>
      <c r="K66" s="7">
        <v>412.13</v>
      </c>
      <c r="L66" s="7"/>
      <c r="M66" s="7">
        <v>216.49</v>
      </c>
      <c r="N66" s="7">
        <v>87.22</v>
      </c>
      <c r="O66" s="81">
        <f>185.21+185.21</f>
        <v>370.42</v>
      </c>
      <c r="P66" s="81"/>
      <c r="Q66" s="15">
        <f t="shared" si="4"/>
        <v>1534.88</v>
      </c>
    </row>
    <row r="67" spans="1:17" s="3" customFormat="1" ht="12.75" x14ac:dyDescent="0.2">
      <c r="A67" s="30">
        <v>113</v>
      </c>
      <c r="B67" s="71" t="s">
        <v>30</v>
      </c>
      <c r="C67" s="9">
        <v>15000</v>
      </c>
      <c r="D67" s="9"/>
      <c r="E67" s="9"/>
      <c r="F67" s="9"/>
      <c r="G67" s="9">
        <f t="shared" si="3"/>
        <v>15000</v>
      </c>
      <c r="H67" s="87"/>
      <c r="I67" s="81">
        <f>1368.72+300</f>
        <v>1668.72</v>
      </c>
      <c r="J67" s="7">
        <f>140+10</f>
        <v>150</v>
      </c>
      <c r="K67" s="7">
        <f>600+868+114.1+140.14</f>
        <v>1722.2399999999998</v>
      </c>
      <c r="L67" s="7"/>
      <c r="M67" s="7">
        <f>300+300+1091.1</f>
        <v>1691.1</v>
      </c>
      <c r="N67" s="7">
        <f>531.88+300</f>
        <v>831.88</v>
      </c>
      <c r="O67" s="81">
        <v>835.6</v>
      </c>
      <c r="P67" s="81">
        <v>300</v>
      </c>
      <c r="Q67" s="15">
        <f t="shared" si="4"/>
        <v>7199.54</v>
      </c>
    </row>
    <row r="68" spans="1:17" s="3" customFormat="1" ht="12.75" x14ac:dyDescent="0.2">
      <c r="A68" s="30">
        <v>114</v>
      </c>
      <c r="B68" s="71" t="s">
        <v>31</v>
      </c>
      <c r="C68" s="9">
        <v>1000</v>
      </c>
      <c r="D68" s="9"/>
      <c r="E68" s="9"/>
      <c r="F68" s="9"/>
      <c r="G68" s="9">
        <f t="shared" si="3"/>
        <v>1000</v>
      </c>
      <c r="H68" s="87"/>
      <c r="I68" s="81"/>
      <c r="J68" s="7"/>
      <c r="K68" s="7"/>
      <c r="L68" s="7"/>
      <c r="M68" s="7"/>
      <c r="N68" s="7"/>
      <c r="O68" s="81"/>
      <c r="P68" s="81"/>
      <c r="Q68" s="15">
        <f t="shared" si="4"/>
        <v>0</v>
      </c>
    </row>
    <row r="69" spans="1:17" s="3" customFormat="1" ht="22.5" x14ac:dyDescent="0.2">
      <c r="A69" s="30">
        <v>115</v>
      </c>
      <c r="B69" s="71" t="s">
        <v>32</v>
      </c>
      <c r="C69" s="9">
        <v>600</v>
      </c>
      <c r="D69" s="9"/>
      <c r="E69" s="9"/>
      <c r="F69" s="9"/>
      <c r="G69" s="9">
        <f t="shared" si="3"/>
        <v>600</v>
      </c>
      <c r="H69" s="87">
        <v>50</v>
      </c>
      <c r="I69" s="81">
        <v>50</v>
      </c>
      <c r="J69" s="7">
        <v>50</v>
      </c>
      <c r="K69" s="7">
        <v>50</v>
      </c>
      <c r="L69" s="7">
        <v>50</v>
      </c>
      <c r="M69" s="7">
        <v>50</v>
      </c>
      <c r="N69" s="7">
        <v>50</v>
      </c>
      <c r="O69" s="81">
        <v>50</v>
      </c>
      <c r="P69" s="81">
        <v>50</v>
      </c>
      <c r="Q69" s="15">
        <f t="shared" si="4"/>
        <v>450</v>
      </c>
    </row>
    <row r="70" spans="1:17" s="3" customFormat="1" ht="12.75" x14ac:dyDescent="0.2">
      <c r="A70" s="30">
        <v>121</v>
      </c>
      <c r="B70" s="71" t="s">
        <v>33</v>
      </c>
      <c r="C70" s="9">
        <v>6000</v>
      </c>
      <c r="D70" s="9"/>
      <c r="E70" s="9"/>
      <c r="F70" s="9"/>
      <c r="G70" s="9">
        <f t="shared" si="3"/>
        <v>6000</v>
      </c>
      <c r="H70" s="87"/>
      <c r="I70" s="81">
        <f>2050.2+5</f>
        <v>2055.1999999999998</v>
      </c>
      <c r="J70" s="7"/>
      <c r="K70" s="7"/>
      <c r="L70" s="7"/>
      <c r="M70" s="7"/>
      <c r="N70" s="7"/>
      <c r="O70" s="81"/>
      <c r="P70" s="81"/>
      <c r="Q70" s="15">
        <f t="shared" si="4"/>
        <v>2055.1999999999998</v>
      </c>
    </row>
    <row r="71" spans="1:17" s="3" customFormat="1" ht="12.75" x14ac:dyDescent="0.2">
      <c r="A71" s="30">
        <v>122</v>
      </c>
      <c r="B71" s="71" t="s">
        <v>126</v>
      </c>
      <c r="C71" s="9">
        <v>7500</v>
      </c>
      <c r="D71" s="9"/>
      <c r="E71" s="9"/>
      <c r="F71" s="9"/>
      <c r="G71" s="9">
        <f t="shared" si="3"/>
        <v>7500</v>
      </c>
      <c r="H71" s="87"/>
      <c r="I71" s="81"/>
      <c r="J71" s="7"/>
      <c r="K71" s="7"/>
      <c r="L71" s="7"/>
      <c r="M71" s="7"/>
      <c r="N71" s="7"/>
      <c r="O71" s="81"/>
      <c r="P71" s="81"/>
      <c r="Q71" s="15">
        <f t="shared" si="4"/>
        <v>0</v>
      </c>
    </row>
    <row r="72" spans="1:17" s="3" customFormat="1" ht="12.75" x14ac:dyDescent="0.2">
      <c r="A72" s="30">
        <v>131</v>
      </c>
      <c r="B72" s="71" t="s">
        <v>34</v>
      </c>
      <c r="C72" s="9">
        <v>606288.66999999993</v>
      </c>
      <c r="D72" s="9"/>
      <c r="E72" s="9"/>
      <c r="F72" s="9"/>
      <c r="G72" s="9">
        <f t="shared" si="3"/>
        <v>606288.66999999993</v>
      </c>
      <c r="H72" s="87">
        <v>44400</v>
      </c>
      <c r="I72" s="87">
        <v>3200</v>
      </c>
      <c r="J72" s="87"/>
      <c r="K72" s="2"/>
      <c r="L72" s="7">
        <f>158028.38+31605.66+10300+20600+7039</f>
        <v>227573.04</v>
      </c>
      <c r="M72" s="7">
        <f>136300+4050+9995.04+3331.68</f>
        <v>153676.72</v>
      </c>
      <c r="N72" s="7">
        <v>3956</v>
      </c>
      <c r="O72" s="87"/>
      <c r="P72" s="81">
        <v>3200</v>
      </c>
      <c r="Q72" s="15">
        <f t="shared" si="4"/>
        <v>436005.76</v>
      </c>
    </row>
    <row r="73" spans="1:17" s="3" customFormat="1" ht="12.75" x14ac:dyDescent="0.2">
      <c r="A73" s="30" t="s">
        <v>86</v>
      </c>
      <c r="B73" s="71" t="s">
        <v>35</v>
      </c>
      <c r="C73" s="9">
        <v>150000</v>
      </c>
      <c r="D73" s="9"/>
      <c r="E73" s="9"/>
      <c r="F73" s="9"/>
      <c r="G73" s="9">
        <f t="shared" si="3"/>
        <v>150000</v>
      </c>
      <c r="H73" s="87">
        <f>1062.5+1012.5</f>
        <v>2075</v>
      </c>
      <c r="I73" s="81">
        <f>1850+500</f>
        <v>2350</v>
      </c>
      <c r="J73" s="7">
        <f>1325+2550+500+899+1000</f>
        <v>6274</v>
      </c>
      <c r="K73" s="7">
        <f>6700+2736+2175</f>
        <v>11611</v>
      </c>
      <c r="L73" s="7">
        <f>24949.98+815+750</f>
        <v>26514.98</v>
      </c>
      <c r="M73" s="7">
        <f>1725+37424.97+1472</f>
        <v>40621.97</v>
      </c>
      <c r="N73" s="7">
        <f>583+322+1350</f>
        <v>2255</v>
      </c>
      <c r="O73" s="81">
        <f>2400+750+3400</f>
        <v>6550</v>
      </c>
      <c r="P73" s="81">
        <f>500+525</f>
        <v>1025</v>
      </c>
      <c r="Q73" s="15">
        <f t="shared" si="4"/>
        <v>99276.95</v>
      </c>
    </row>
    <row r="74" spans="1:17" s="3" customFormat="1" ht="12.75" x14ac:dyDescent="0.2">
      <c r="A74" s="30" t="s">
        <v>87</v>
      </c>
      <c r="B74" s="71" t="s">
        <v>36</v>
      </c>
      <c r="C74" s="9">
        <v>95000</v>
      </c>
      <c r="D74" s="9"/>
      <c r="E74" s="9"/>
      <c r="F74" s="9"/>
      <c r="G74" s="9">
        <f t="shared" si="3"/>
        <v>95000</v>
      </c>
      <c r="H74" s="87"/>
      <c r="I74" s="81"/>
      <c r="J74" s="7">
        <v>6500</v>
      </c>
      <c r="K74" s="7"/>
      <c r="L74" s="7"/>
      <c r="M74" s="7"/>
      <c r="N74" s="7"/>
      <c r="O74" s="81">
        <v>6500</v>
      </c>
      <c r="P74" s="81"/>
      <c r="Q74" s="15">
        <f t="shared" si="4"/>
        <v>13000</v>
      </c>
    </row>
    <row r="75" spans="1:17" s="3" customFormat="1" ht="22.5" x14ac:dyDescent="0.2">
      <c r="A75" s="30">
        <v>151</v>
      </c>
      <c r="B75" s="71" t="s">
        <v>37</v>
      </c>
      <c r="C75" s="9">
        <v>108900</v>
      </c>
      <c r="D75" s="9"/>
      <c r="E75" s="9"/>
      <c r="F75" s="9"/>
      <c r="G75" s="9">
        <f t="shared" si="3"/>
        <v>108900</v>
      </c>
      <c r="H75" s="87">
        <v>8268.74</v>
      </c>
      <c r="I75" s="81">
        <v>8268.74</v>
      </c>
      <c r="J75" s="7">
        <v>8268.74</v>
      </c>
      <c r="K75" s="7">
        <v>8665</v>
      </c>
      <c r="L75" s="7">
        <v>8665</v>
      </c>
      <c r="M75" s="7">
        <v>8665</v>
      </c>
      <c r="N75" s="7">
        <v>8665</v>
      </c>
      <c r="O75" s="81">
        <v>8665</v>
      </c>
      <c r="P75" s="81">
        <f>4500+8665</f>
        <v>13165</v>
      </c>
      <c r="Q75" s="15">
        <f t="shared" si="4"/>
        <v>81296.22</v>
      </c>
    </row>
    <row r="76" spans="1:17" s="3" customFormat="1" ht="22.5" x14ac:dyDescent="0.2">
      <c r="A76" s="30">
        <v>152</v>
      </c>
      <c r="B76" s="71" t="s">
        <v>38</v>
      </c>
      <c r="C76" s="9">
        <v>2500</v>
      </c>
      <c r="D76" s="9"/>
      <c r="E76" s="9"/>
      <c r="F76" s="9"/>
      <c r="G76" s="9">
        <f t="shared" si="3"/>
        <v>2500</v>
      </c>
      <c r="H76" s="88"/>
      <c r="I76" s="81"/>
      <c r="J76" s="72"/>
      <c r="K76" s="72"/>
      <c r="L76" s="72"/>
      <c r="M76" s="7"/>
      <c r="N76" s="72"/>
      <c r="O76" s="82"/>
      <c r="P76" s="82"/>
      <c r="Q76" s="15">
        <f t="shared" si="4"/>
        <v>0</v>
      </c>
    </row>
    <row r="77" spans="1:17" s="3" customFormat="1" ht="22.5" x14ac:dyDescent="0.2">
      <c r="A77" s="30">
        <v>153</v>
      </c>
      <c r="B77" s="71" t="s">
        <v>39</v>
      </c>
      <c r="C77" s="9">
        <v>8500</v>
      </c>
      <c r="D77" s="9"/>
      <c r="E77" s="9"/>
      <c r="F77" s="9"/>
      <c r="G77" s="9">
        <f t="shared" si="3"/>
        <v>8500</v>
      </c>
      <c r="H77" s="88">
        <v>600</v>
      </c>
      <c r="I77" s="82">
        <v>600</v>
      </c>
      <c r="J77" s="72">
        <v>600</v>
      </c>
      <c r="K77" s="72">
        <f>987.54</f>
        <v>987.54</v>
      </c>
      <c r="L77" s="72">
        <v>654</v>
      </c>
      <c r="M77" s="7">
        <v>760.74</v>
      </c>
      <c r="N77" s="72">
        <v>600</v>
      </c>
      <c r="O77" s="82">
        <v>600</v>
      </c>
      <c r="P77" s="82">
        <v>600</v>
      </c>
      <c r="Q77" s="15">
        <f t="shared" si="4"/>
        <v>6002.28</v>
      </c>
    </row>
    <row r="78" spans="1:17" s="3" customFormat="1" ht="22.5" x14ac:dyDescent="0.2">
      <c r="A78" s="30">
        <v>155</v>
      </c>
      <c r="B78" s="71" t="s">
        <v>40</v>
      </c>
      <c r="C78" s="9">
        <v>95000</v>
      </c>
      <c r="D78" s="9"/>
      <c r="E78" s="9"/>
      <c r="F78" s="9"/>
      <c r="G78" s="9">
        <f t="shared" si="3"/>
        <v>95000</v>
      </c>
      <c r="H78" s="7"/>
      <c r="I78" s="7"/>
      <c r="J78" s="7">
        <v>9500</v>
      </c>
      <c r="K78" s="7">
        <v>6300</v>
      </c>
      <c r="L78" s="7"/>
      <c r="M78" s="72">
        <f>6440+350+1650+11300</f>
        <v>19740</v>
      </c>
      <c r="N78" s="7">
        <f>350+11300</f>
        <v>11650</v>
      </c>
      <c r="O78" s="7">
        <f>8400+5050+5600+1300+2050+4500+1000</f>
        <v>27900</v>
      </c>
      <c r="P78" s="7"/>
      <c r="Q78" s="15">
        <f t="shared" si="4"/>
        <v>75090</v>
      </c>
    </row>
    <row r="79" spans="1:17" s="3" customFormat="1" ht="22.5" x14ac:dyDescent="0.2">
      <c r="A79" s="30">
        <v>161</v>
      </c>
      <c r="B79" s="71" t="s">
        <v>88</v>
      </c>
      <c r="C79" s="9">
        <v>5000</v>
      </c>
      <c r="D79" s="9"/>
      <c r="E79" s="9"/>
      <c r="F79" s="9"/>
      <c r="G79" s="9">
        <f t="shared" si="3"/>
        <v>5000</v>
      </c>
      <c r="H79" s="87"/>
      <c r="I79" s="81"/>
      <c r="J79" s="7"/>
      <c r="K79" s="7"/>
      <c r="L79" s="7"/>
      <c r="M79" s="7"/>
      <c r="N79" s="7"/>
      <c r="O79" s="7"/>
      <c r="P79" s="81"/>
      <c r="Q79" s="15">
        <f t="shared" si="4"/>
        <v>0</v>
      </c>
    </row>
    <row r="80" spans="1:17" s="3" customFormat="1" ht="22.5" x14ac:dyDescent="0.2">
      <c r="A80" s="30">
        <v>164</v>
      </c>
      <c r="B80" s="71" t="s">
        <v>41</v>
      </c>
      <c r="C80" s="9">
        <v>50000</v>
      </c>
      <c r="D80" s="9"/>
      <c r="E80" s="9"/>
      <c r="F80" s="9"/>
      <c r="G80" s="9">
        <f t="shared" si="3"/>
        <v>50000</v>
      </c>
      <c r="H80" s="87"/>
      <c r="I80" s="81"/>
      <c r="J80" s="7">
        <f>1050+1000</f>
        <v>2050</v>
      </c>
      <c r="K80" s="7"/>
      <c r="L80" s="7"/>
      <c r="M80" s="7">
        <f>1850+3575</f>
        <v>5425</v>
      </c>
      <c r="N80" s="7">
        <v>1600</v>
      </c>
      <c r="O80" s="7">
        <f>3640+2900</f>
        <v>6540</v>
      </c>
      <c r="P80" s="81">
        <v>1750</v>
      </c>
      <c r="Q80" s="15">
        <f t="shared" si="4"/>
        <v>17365</v>
      </c>
    </row>
    <row r="81" spans="1:17" s="3" customFormat="1" ht="22.5" x14ac:dyDescent="0.2">
      <c r="A81" s="30" t="s">
        <v>89</v>
      </c>
      <c r="B81" s="71" t="s">
        <v>42</v>
      </c>
      <c r="C81" s="9">
        <v>10000</v>
      </c>
      <c r="D81" s="9"/>
      <c r="E81" s="9"/>
      <c r="F81" s="9"/>
      <c r="G81" s="9">
        <f t="shared" si="3"/>
        <v>10000</v>
      </c>
      <c r="H81" s="87"/>
      <c r="I81" s="81">
        <f>750+5225</f>
        <v>5975</v>
      </c>
      <c r="J81" s="7"/>
      <c r="K81" s="7"/>
      <c r="L81" s="7"/>
      <c r="M81" s="7"/>
      <c r="N81" s="7">
        <v>350</v>
      </c>
      <c r="O81" s="81"/>
      <c r="P81" s="81"/>
      <c r="Q81" s="15">
        <f t="shared" si="4"/>
        <v>6325</v>
      </c>
    </row>
    <row r="82" spans="1:17" s="3" customFormat="1" ht="22.5" x14ac:dyDescent="0.2">
      <c r="A82" s="30">
        <v>169</v>
      </c>
      <c r="B82" s="71" t="s">
        <v>90</v>
      </c>
      <c r="C82" s="9">
        <v>5500</v>
      </c>
      <c r="D82" s="9"/>
      <c r="E82" s="9"/>
      <c r="F82" s="9"/>
      <c r="G82" s="9">
        <f t="shared" si="3"/>
        <v>5500</v>
      </c>
      <c r="H82" s="87"/>
      <c r="I82" s="81"/>
      <c r="J82" s="7"/>
      <c r="K82" s="7"/>
      <c r="L82" s="7"/>
      <c r="M82" s="7"/>
      <c r="N82" s="7"/>
      <c r="O82" s="81"/>
      <c r="P82" s="81"/>
      <c r="Q82" s="15">
        <f t="shared" si="4"/>
        <v>0</v>
      </c>
    </row>
    <row r="83" spans="1:17" s="3" customFormat="1" ht="12.75" x14ac:dyDescent="0.2">
      <c r="A83" s="30">
        <v>182</v>
      </c>
      <c r="B83" s="71" t="s">
        <v>91</v>
      </c>
      <c r="C83" s="9">
        <v>15000</v>
      </c>
      <c r="D83" s="9"/>
      <c r="E83" s="9"/>
      <c r="F83" s="9"/>
      <c r="G83" s="9">
        <f t="shared" si="3"/>
        <v>15000</v>
      </c>
      <c r="H83" s="87">
        <v>2380</v>
      </c>
      <c r="I83" s="81"/>
      <c r="J83" s="7"/>
      <c r="K83" s="7">
        <v>130</v>
      </c>
      <c r="L83" s="7"/>
      <c r="M83" s="7"/>
      <c r="N83" s="7">
        <v>680</v>
      </c>
      <c r="O83" s="81">
        <f>1645+1847</f>
        <v>3492</v>
      </c>
      <c r="P83" s="81">
        <v>257</v>
      </c>
      <c r="Q83" s="15">
        <f t="shared" si="4"/>
        <v>6939</v>
      </c>
    </row>
    <row r="84" spans="1:17" s="3" customFormat="1" ht="12.75" x14ac:dyDescent="0.2">
      <c r="A84" s="30">
        <v>183</v>
      </c>
      <c r="B84" s="71" t="s">
        <v>43</v>
      </c>
      <c r="C84" s="9">
        <v>25000</v>
      </c>
      <c r="D84" s="9"/>
      <c r="E84" s="9"/>
      <c r="F84" s="9"/>
      <c r="G84" s="9">
        <f t="shared" si="3"/>
        <v>25000</v>
      </c>
      <c r="H84" s="87"/>
      <c r="I84" s="81">
        <v>200</v>
      </c>
      <c r="J84" s="7">
        <v>800</v>
      </c>
      <c r="K84" s="7"/>
      <c r="L84" s="7"/>
      <c r="M84" s="7"/>
      <c r="N84" s="7"/>
      <c r="O84" s="81">
        <v>10000</v>
      </c>
      <c r="P84" s="81">
        <v>300</v>
      </c>
      <c r="Q84" s="15">
        <f t="shared" si="4"/>
        <v>11300</v>
      </c>
    </row>
    <row r="85" spans="1:17" s="3" customFormat="1" ht="12.75" x14ac:dyDescent="0.2">
      <c r="A85" s="30">
        <v>185</v>
      </c>
      <c r="B85" s="71" t="s">
        <v>44</v>
      </c>
      <c r="C85" s="9">
        <v>6500</v>
      </c>
      <c r="D85" s="9"/>
      <c r="E85" s="9"/>
      <c r="F85" s="9"/>
      <c r="G85" s="9">
        <f t="shared" si="3"/>
        <v>6500</v>
      </c>
      <c r="H85" s="87"/>
      <c r="I85" s="81"/>
      <c r="J85" s="7"/>
      <c r="K85" s="7"/>
      <c r="L85" s="7"/>
      <c r="M85" s="7"/>
      <c r="N85" s="7"/>
      <c r="O85" s="81"/>
      <c r="P85" s="81"/>
      <c r="Q85" s="15">
        <f t="shared" si="4"/>
        <v>0</v>
      </c>
    </row>
    <row r="86" spans="1:17" s="3" customFormat="1" ht="22.5" x14ac:dyDescent="0.2">
      <c r="A86" s="30">
        <v>186</v>
      </c>
      <c r="B86" s="71" t="s">
        <v>45</v>
      </c>
      <c r="C86" s="9">
        <v>15000</v>
      </c>
      <c r="D86" s="9"/>
      <c r="E86" s="9"/>
      <c r="F86" s="9"/>
      <c r="G86" s="9">
        <f t="shared" si="3"/>
        <v>15000</v>
      </c>
      <c r="H86" s="87"/>
      <c r="I86" s="81"/>
      <c r="J86" s="7"/>
      <c r="K86" s="7"/>
      <c r="L86" s="7"/>
      <c r="M86" s="7"/>
      <c r="N86" s="7"/>
      <c r="O86" s="81">
        <v>2800</v>
      </c>
      <c r="P86" s="81"/>
      <c r="Q86" s="15">
        <f t="shared" si="4"/>
        <v>2800</v>
      </c>
    </row>
    <row r="87" spans="1:17" s="3" customFormat="1" ht="12.75" x14ac:dyDescent="0.2">
      <c r="A87" s="30">
        <v>189</v>
      </c>
      <c r="B87" s="71" t="s">
        <v>46</v>
      </c>
      <c r="C87" s="9">
        <v>932956.29</v>
      </c>
      <c r="D87" s="9"/>
      <c r="E87" s="9"/>
      <c r="F87" s="9"/>
      <c r="G87" s="9">
        <f t="shared" si="3"/>
        <v>932956.29</v>
      </c>
      <c r="H87" s="87">
        <f>3700+2650+4500+4125</f>
        <v>14975</v>
      </c>
      <c r="I87" s="81">
        <f>28900+14000</f>
        <v>42900</v>
      </c>
      <c r="J87" s="7">
        <f>20770+4100+3970+2650+48290+13100+3000+2800+14040+1680+3300+4500</f>
        <v>122200</v>
      </c>
      <c r="K87" s="7">
        <f>4100+11800+8250+4100+4600+2650+3300+3300+3970+8400+4200+3970+4200+2800+3300+4725</f>
        <v>77665</v>
      </c>
      <c r="L87" s="7">
        <f>4500+4100+18470+19600+18970</f>
        <v>65640</v>
      </c>
      <c r="M87" s="7">
        <f>4100+16950+2650+33240+4200</f>
        <v>61140</v>
      </c>
      <c r="N87" s="7">
        <f>12350+4100+37670+2650+2650</f>
        <v>59420</v>
      </c>
      <c r="O87" s="81">
        <f>8000+13600+5200+11665+1800+4600+12500+1600+1400+4100+11350+8250+34640</f>
        <v>118705</v>
      </c>
      <c r="P87" s="81">
        <f>4100+12350+4600+40090</f>
        <v>61140</v>
      </c>
      <c r="Q87" s="15">
        <f t="shared" si="4"/>
        <v>623785</v>
      </c>
    </row>
    <row r="88" spans="1:17" s="3" customFormat="1" ht="22.5" x14ac:dyDescent="0.2">
      <c r="A88" s="30">
        <v>191</v>
      </c>
      <c r="B88" s="71" t="s">
        <v>92</v>
      </c>
      <c r="C88" s="9">
        <v>200</v>
      </c>
      <c r="D88" s="9"/>
      <c r="E88" s="9"/>
      <c r="F88" s="9"/>
      <c r="G88" s="9">
        <v>200</v>
      </c>
      <c r="H88" s="87"/>
      <c r="I88" s="81"/>
      <c r="J88" s="7"/>
      <c r="K88" s="7"/>
      <c r="L88" s="7"/>
      <c r="M88" s="7"/>
      <c r="N88" s="7"/>
      <c r="O88" s="81"/>
      <c r="P88" s="81"/>
      <c r="Q88" s="15">
        <f t="shared" si="4"/>
        <v>0</v>
      </c>
    </row>
    <row r="89" spans="1:17" s="3" customFormat="1" ht="22.5" x14ac:dyDescent="0.2">
      <c r="A89" s="30" t="s">
        <v>93</v>
      </c>
      <c r="B89" s="71" t="s">
        <v>94</v>
      </c>
      <c r="C89" s="9">
        <v>500</v>
      </c>
      <c r="D89" s="9"/>
      <c r="E89" s="9"/>
      <c r="F89" s="9"/>
      <c r="G89" s="9">
        <f t="shared" si="3"/>
        <v>500</v>
      </c>
      <c r="H89" s="87">
        <v>130</v>
      </c>
      <c r="I89" s="81">
        <v>50</v>
      </c>
      <c r="J89" s="7"/>
      <c r="K89" s="7"/>
      <c r="L89" s="7"/>
      <c r="M89" s="7"/>
      <c r="N89" s="7"/>
      <c r="O89" s="81"/>
      <c r="P89" s="81"/>
      <c r="Q89" s="15">
        <f t="shared" si="4"/>
        <v>180</v>
      </c>
    </row>
    <row r="90" spans="1:17" s="3" customFormat="1" ht="12.75" x14ac:dyDescent="0.2">
      <c r="A90" s="30">
        <f>195</f>
        <v>195</v>
      </c>
      <c r="B90" s="71" t="s">
        <v>95</v>
      </c>
      <c r="C90" s="9">
        <v>1500</v>
      </c>
      <c r="D90" s="9"/>
      <c r="E90" s="9"/>
      <c r="F90" s="9"/>
      <c r="G90" s="9">
        <f t="shared" si="3"/>
        <v>1500</v>
      </c>
      <c r="H90" s="87">
        <v>37.56</v>
      </c>
      <c r="I90" s="81">
        <v>43.65</v>
      </c>
      <c r="J90" s="7">
        <v>110.73</v>
      </c>
      <c r="K90" s="7">
        <v>71.260000000000005</v>
      </c>
      <c r="L90" s="7">
        <v>52.5</v>
      </c>
      <c r="M90" s="7">
        <v>84.77</v>
      </c>
      <c r="N90" s="7">
        <v>143.06</v>
      </c>
      <c r="O90" s="81">
        <v>113.94</v>
      </c>
      <c r="P90" s="81">
        <v>110.86</v>
      </c>
      <c r="Q90" s="15">
        <f t="shared" si="4"/>
        <v>768.33</v>
      </c>
    </row>
    <row r="91" spans="1:17" s="3" customFormat="1" ht="22.5" x14ac:dyDescent="0.2">
      <c r="A91" s="30">
        <v>196</v>
      </c>
      <c r="B91" s="71" t="s">
        <v>47</v>
      </c>
      <c r="C91" s="9">
        <v>95000</v>
      </c>
      <c r="D91" s="10"/>
      <c r="E91" s="10"/>
      <c r="F91" s="10"/>
      <c r="G91" s="10">
        <f>+C91+D91-E91+F91</f>
        <v>95000</v>
      </c>
      <c r="H91" s="89">
        <v>1000</v>
      </c>
      <c r="I91" s="83"/>
      <c r="J91" s="73">
        <f>350+3660+2250+23200</f>
        <v>29460</v>
      </c>
      <c r="K91" s="73">
        <v>1840</v>
      </c>
      <c r="L91" s="73"/>
      <c r="M91" s="73">
        <v>890</v>
      </c>
      <c r="N91" s="73">
        <v>546.03</v>
      </c>
      <c r="O91" s="83"/>
      <c r="P91" s="83">
        <f>546.03+23460</f>
        <v>24006.03</v>
      </c>
      <c r="Q91" s="15">
        <f t="shared" si="4"/>
        <v>57742.06</v>
      </c>
    </row>
    <row r="92" spans="1:17" s="3" customFormat="1" ht="12.75" x14ac:dyDescent="0.2">
      <c r="A92" s="30">
        <v>197</v>
      </c>
      <c r="B92" s="71" t="s">
        <v>48</v>
      </c>
      <c r="C92" s="9">
        <v>55000</v>
      </c>
      <c r="D92" s="10"/>
      <c r="E92" s="10"/>
      <c r="F92" s="10"/>
      <c r="G92" s="10">
        <f>+C92+D92-E92+F92</f>
        <v>55000</v>
      </c>
      <c r="H92" s="89">
        <v>977.5</v>
      </c>
      <c r="I92" s="83">
        <v>977.5</v>
      </c>
      <c r="J92" s="73">
        <f>977.5+8400</f>
        <v>9377.5</v>
      </c>
      <c r="K92" s="73">
        <v>977.5</v>
      </c>
      <c r="L92" s="73">
        <v>977.5</v>
      </c>
      <c r="M92" s="73">
        <v>977.5</v>
      </c>
      <c r="N92" s="73">
        <v>977.5</v>
      </c>
      <c r="O92" s="83">
        <f>8400+977.5</f>
        <v>9377.5</v>
      </c>
      <c r="P92" s="83">
        <v>977.5</v>
      </c>
      <c r="Q92" s="15">
        <f t="shared" si="4"/>
        <v>25597.5</v>
      </c>
    </row>
    <row r="93" spans="1:17" s="3" customFormat="1" ht="22.5" x14ac:dyDescent="0.2">
      <c r="A93" s="30">
        <v>199</v>
      </c>
      <c r="B93" s="74" t="s">
        <v>49</v>
      </c>
      <c r="C93" s="9">
        <v>95000</v>
      </c>
      <c r="D93" s="9"/>
      <c r="E93" s="9"/>
      <c r="F93" s="9"/>
      <c r="G93" s="10">
        <f>+C93+D93-E93+F93</f>
        <v>95000</v>
      </c>
      <c r="H93" s="87">
        <f>76+40+2493.12</f>
        <v>2609.12</v>
      </c>
      <c r="I93" s="81">
        <f>192.9+95</f>
        <v>287.89999999999998</v>
      </c>
      <c r="J93" s="7">
        <f>1706+10+75.25+70+250+700</f>
        <v>2811.25</v>
      </c>
      <c r="K93" s="7">
        <f>9850.05+150+583+225+85</f>
        <v>10893.05</v>
      </c>
      <c r="L93" s="7">
        <f>11705.8+115.5+56</f>
        <v>11877.3</v>
      </c>
      <c r="M93" s="7">
        <f>55+6214.85+5910.03</f>
        <v>12179.880000000001</v>
      </c>
      <c r="N93" s="7">
        <f>1407.15+87+100</f>
        <v>1594.15</v>
      </c>
      <c r="O93" s="83">
        <f>300+2015</f>
        <v>2315</v>
      </c>
      <c r="P93" s="83">
        <f>230+95</f>
        <v>325</v>
      </c>
      <c r="Q93" s="15">
        <f t="shared" si="4"/>
        <v>44892.65</v>
      </c>
    </row>
    <row r="94" spans="1:17" s="3" customFormat="1" ht="12.75" x14ac:dyDescent="0.2">
      <c r="A94" s="30" t="s">
        <v>96</v>
      </c>
      <c r="B94" s="71" t="s">
        <v>50</v>
      </c>
      <c r="C94" s="9"/>
      <c r="D94" s="9"/>
      <c r="E94" s="9"/>
      <c r="F94" s="9"/>
      <c r="G94" s="10"/>
      <c r="H94" s="7"/>
      <c r="I94" s="7"/>
      <c r="J94" s="7"/>
      <c r="K94" s="7"/>
      <c r="L94" s="7"/>
      <c r="M94" s="7"/>
      <c r="N94" s="7"/>
      <c r="O94" s="7"/>
      <c r="P94" s="7"/>
      <c r="Q94" s="15">
        <f t="shared" si="4"/>
        <v>0</v>
      </c>
    </row>
    <row r="95" spans="1:17" s="3" customFormat="1" ht="12.75" x14ac:dyDescent="0.2">
      <c r="A95" s="30">
        <v>211</v>
      </c>
      <c r="B95" s="71" t="s">
        <v>51</v>
      </c>
      <c r="C95" s="9">
        <v>250000</v>
      </c>
      <c r="D95" s="9"/>
      <c r="E95" s="10"/>
      <c r="F95" s="9"/>
      <c r="G95" s="10">
        <f t="shared" ref="G95:G109" si="5">+C95+D95-E95+F95</f>
        <v>250000</v>
      </c>
      <c r="H95" s="7">
        <f>1973+527.8</f>
        <v>2500.8000000000002</v>
      </c>
      <c r="I95" s="7">
        <f>1050+1188</f>
        <v>2238</v>
      </c>
      <c r="J95" s="7">
        <f>844+495+3774.45+1867.3+1600+1050+527.9+2000+3065+3745+34895+1000+4370</f>
        <v>59233.65</v>
      </c>
      <c r="K95" s="7">
        <f>2572.45+4059+1075.35+563</f>
        <v>8269.7999999999993</v>
      </c>
      <c r="L95" s="7"/>
      <c r="M95" s="7">
        <f>100+1498</f>
        <v>1598</v>
      </c>
      <c r="N95" s="7">
        <f>3931.62+1320.9+489</f>
        <v>5741.52</v>
      </c>
      <c r="O95" s="7">
        <f>2430+2110+363+1960+1299.5</f>
        <v>8162.5</v>
      </c>
      <c r="P95" s="7">
        <f>1546.05+30680+522.5</f>
        <v>32748.55</v>
      </c>
      <c r="Q95" s="15">
        <f t="shared" si="4"/>
        <v>120492.82</v>
      </c>
    </row>
    <row r="96" spans="1:17" s="3" customFormat="1" ht="22.5" x14ac:dyDescent="0.2">
      <c r="A96" s="30" t="s">
        <v>97</v>
      </c>
      <c r="B96" s="71" t="s">
        <v>52</v>
      </c>
      <c r="C96" s="9">
        <v>100000</v>
      </c>
      <c r="D96" s="9"/>
      <c r="E96" s="10"/>
      <c r="F96" s="9"/>
      <c r="G96" s="10">
        <f t="shared" si="5"/>
        <v>100000</v>
      </c>
      <c r="H96" s="7">
        <v>2275</v>
      </c>
      <c r="I96" s="7"/>
      <c r="J96" s="7">
        <v>2160</v>
      </c>
      <c r="K96" s="7">
        <v>3360</v>
      </c>
      <c r="L96" s="7">
        <f>1623+1662.08</f>
        <v>3285.08</v>
      </c>
      <c r="M96" s="7">
        <f>5760+1545+2750+1650</f>
        <v>11705</v>
      </c>
      <c r="N96" s="7">
        <f>12900+1620</f>
        <v>14520</v>
      </c>
      <c r="O96" s="7"/>
      <c r="P96" s="7">
        <v>-1620</v>
      </c>
      <c r="Q96" s="15">
        <f t="shared" si="4"/>
        <v>35685.08</v>
      </c>
    </row>
    <row r="97" spans="1:17" s="3" customFormat="1" ht="12.75" x14ac:dyDescent="0.2">
      <c r="A97" s="30" t="s">
        <v>98</v>
      </c>
      <c r="B97" s="71" t="s">
        <v>53</v>
      </c>
      <c r="C97" s="9">
        <v>3500</v>
      </c>
      <c r="D97" s="9"/>
      <c r="E97" s="10"/>
      <c r="F97" s="9"/>
      <c r="G97" s="10">
        <f t="shared" si="5"/>
        <v>3500</v>
      </c>
      <c r="H97" s="7"/>
      <c r="I97" s="7">
        <v>750</v>
      </c>
      <c r="J97" s="7">
        <v>96</v>
      </c>
      <c r="K97" s="7">
        <v>380</v>
      </c>
      <c r="L97" s="7"/>
      <c r="M97" s="7"/>
      <c r="N97" s="7"/>
      <c r="O97" s="7">
        <v>640</v>
      </c>
      <c r="P97" s="7"/>
      <c r="Q97" s="15">
        <f t="shared" si="4"/>
        <v>1866</v>
      </c>
    </row>
    <row r="98" spans="1:17" s="3" customFormat="1" ht="22.5" x14ac:dyDescent="0.2">
      <c r="A98" s="30" t="s">
        <v>99</v>
      </c>
      <c r="B98" s="71" t="s">
        <v>54</v>
      </c>
      <c r="C98" s="9">
        <v>5000</v>
      </c>
      <c r="D98" s="9"/>
      <c r="E98" s="10"/>
      <c r="F98" s="9"/>
      <c r="G98" s="10">
        <f t="shared" si="5"/>
        <v>5000</v>
      </c>
      <c r="H98" s="7">
        <v>124</v>
      </c>
      <c r="I98" s="7"/>
      <c r="J98" s="7">
        <v>123</v>
      </c>
      <c r="K98" s="7"/>
      <c r="L98" s="7"/>
      <c r="M98" s="7"/>
      <c r="N98" s="7">
        <f>276.85+201.3</f>
        <v>478.15000000000003</v>
      </c>
      <c r="O98" s="7"/>
      <c r="P98" s="7">
        <v>145.75</v>
      </c>
      <c r="Q98" s="15">
        <f t="shared" si="4"/>
        <v>870.90000000000009</v>
      </c>
    </row>
    <row r="99" spans="1:17" s="3" customFormat="1" ht="12.75" x14ac:dyDescent="0.2">
      <c r="A99" s="30">
        <v>245</v>
      </c>
      <c r="B99" s="71" t="s">
        <v>129</v>
      </c>
      <c r="C99" s="9">
        <v>15000</v>
      </c>
      <c r="D99" s="9"/>
      <c r="E99" s="10"/>
      <c r="F99" s="9"/>
      <c r="G99" s="10">
        <f t="shared" si="5"/>
        <v>15000</v>
      </c>
      <c r="H99" s="7"/>
      <c r="I99" s="7"/>
      <c r="J99" s="7"/>
      <c r="K99" s="7"/>
      <c r="L99" s="7">
        <v>146.80000000000001</v>
      </c>
      <c r="M99" s="7"/>
      <c r="N99" s="7"/>
      <c r="O99" s="7"/>
      <c r="P99" s="7"/>
      <c r="Q99" s="15">
        <f t="shared" si="4"/>
        <v>146.80000000000001</v>
      </c>
    </row>
    <row r="100" spans="1:17" s="3" customFormat="1" ht="12.75" x14ac:dyDescent="0.2">
      <c r="A100" s="30">
        <v>247</v>
      </c>
      <c r="B100" s="71" t="s">
        <v>55</v>
      </c>
      <c r="C100" s="9">
        <v>2500</v>
      </c>
      <c r="D100" s="9"/>
      <c r="E100" s="10"/>
      <c r="F100" s="9"/>
      <c r="G100" s="10">
        <f t="shared" si="5"/>
        <v>2500</v>
      </c>
      <c r="H100" s="7"/>
      <c r="I100" s="7"/>
      <c r="J100" s="7"/>
      <c r="K100" s="7"/>
      <c r="L100" s="7"/>
      <c r="M100" s="7"/>
      <c r="N100" s="7"/>
      <c r="O100" s="7"/>
      <c r="P100" s="7"/>
      <c r="Q100" s="15">
        <f t="shared" si="4"/>
        <v>0</v>
      </c>
    </row>
    <row r="101" spans="1:17" s="3" customFormat="1" ht="12.75" x14ac:dyDescent="0.2">
      <c r="A101" s="30">
        <v>262</v>
      </c>
      <c r="B101" s="71" t="s">
        <v>56</v>
      </c>
      <c r="C101" s="9">
        <v>100000</v>
      </c>
      <c r="D101" s="9"/>
      <c r="E101" s="10"/>
      <c r="F101" s="9"/>
      <c r="G101" s="10">
        <f t="shared" si="5"/>
        <v>100000</v>
      </c>
      <c r="H101" s="7">
        <f>1350+595.14</f>
        <v>1945.1399999999999</v>
      </c>
      <c r="I101" s="7">
        <f>625+2150.03</f>
        <v>2775.03</v>
      </c>
      <c r="J101" s="7">
        <f>725+50+600+1015.1+587.5</f>
        <v>2977.6</v>
      </c>
      <c r="K101" s="7">
        <f>150+150+1228+1745</f>
        <v>3273</v>
      </c>
      <c r="L101" s="7">
        <v>112.8</v>
      </c>
      <c r="M101" s="7">
        <f>1135.1+780</f>
        <v>1915.1</v>
      </c>
      <c r="N101" s="7">
        <f>2207.29+1210</f>
        <v>3417.29</v>
      </c>
      <c r="O101" s="7">
        <f>95+775+250</f>
        <v>1120</v>
      </c>
      <c r="P101" s="7">
        <f>1565.21+1550.31</f>
        <v>3115.52</v>
      </c>
      <c r="Q101" s="15">
        <f t="shared" si="4"/>
        <v>20651.48</v>
      </c>
    </row>
    <row r="102" spans="1:17" s="3" customFormat="1" ht="22.5" x14ac:dyDescent="0.2">
      <c r="A102" s="30">
        <v>266</v>
      </c>
      <c r="B102" s="71" t="s">
        <v>57</v>
      </c>
      <c r="C102" s="9">
        <v>24000</v>
      </c>
      <c r="D102" s="11"/>
      <c r="E102" s="10"/>
      <c r="F102" s="11"/>
      <c r="G102" s="10">
        <f t="shared" si="5"/>
        <v>24000</v>
      </c>
      <c r="H102" s="7">
        <v>100</v>
      </c>
      <c r="I102" s="7"/>
      <c r="J102" s="7"/>
      <c r="K102" s="7"/>
      <c r="L102" s="7">
        <f>2278.21+1250.01</f>
        <v>3528.2200000000003</v>
      </c>
      <c r="M102" s="7"/>
      <c r="N102" s="7"/>
      <c r="O102" s="7"/>
      <c r="P102" s="7"/>
      <c r="Q102" s="15">
        <f t="shared" si="4"/>
        <v>3628.2200000000003</v>
      </c>
    </row>
    <row r="103" spans="1:17" s="3" customFormat="1" ht="22.5" x14ac:dyDescent="0.2">
      <c r="A103" s="30" t="s">
        <v>100</v>
      </c>
      <c r="B103" s="71" t="s">
        <v>58</v>
      </c>
      <c r="C103" s="9">
        <v>5000</v>
      </c>
      <c r="D103" s="9"/>
      <c r="E103" s="10"/>
      <c r="F103" s="9"/>
      <c r="G103" s="10">
        <f t="shared" si="5"/>
        <v>5000</v>
      </c>
      <c r="H103" s="7"/>
      <c r="I103" s="7"/>
      <c r="J103" s="7">
        <v>520</v>
      </c>
      <c r="K103" s="7">
        <v>2587.5</v>
      </c>
      <c r="L103" s="7"/>
      <c r="M103" s="7"/>
      <c r="N103" s="7">
        <v>520</v>
      </c>
      <c r="O103" s="7"/>
      <c r="P103" s="7"/>
      <c r="Q103" s="15">
        <f t="shared" si="4"/>
        <v>3627.5</v>
      </c>
    </row>
    <row r="104" spans="1:17" s="3" customFormat="1" ht="22.5" x14ac:dyDescent="0.2">
      <c r="A104" s="30">
        <v>268</v>
      </c>
      <c r="B104" s="71" t="s">
        <v>59</v>
      </c>
      <c r="C104" s="9">
        <v>35000</v>
      </c>
      <c r="D104" s="9"/>
      <c r="E104" s="10"/>
      <c r="F104" s="9"/>
      <c r="G104" s="10">
        <f t="shared" si="5"/>
        <v>35000</v>
      </c>
      <c r="H104" s="7">
        <v>95</v>
      </c>
      <c r="I104" s="7"/>
      <c r="J104" s="7">
        <f>172.45+131.75+444.7</f>
        <v>748.9</v>
      </c>
      <c r="K104" s="7">
        <f>250+240+9.75</f>
        <v>499.75</v>
      </c>
      <c r="L104" s="7"/>
      <c r="M104" s="7"/>
      <c r="N104" s="7">
        <v>450</v>
      </c>
      <c r="O104" s="7"/>
      <c r="P104" s="7">
        <v>106.5</v>
      </c>
      <c r="Q104" s="15">
        <f t="shared" si="4"/>
        <v>1900.15</v>
      </c>
    </row>
    <row r="105" spans="1:17" s="3" customFormat="1" ht="27" customHeight="1" x14ac:dyDescent="0.2">
      <c r="A105" s="30">
        <v>283</v>
      </c>
      <c r="B105" s="71" t="s">
        <v>60</v>
      </c>
      <c r="C105" s="9">
        <v>5000</v>
      </c>
      <c r="D105" s="9"/>
      <c r="E105" s="10"/>
      <c r="F105" s="9"/>
      <c r="G105" s="10">
        <f t="shared" si="5"/>
        <v>5000</v>
      </c>
      <c r="H105" s="7"/>
      <c r="I105" s="7"/>
      <c r="J105" s="7">
        <v>230.95</v>
      </c>
      <c r="K105" s="7"/>
      <c r="L105" s="7">
        <v>295</v>
      </c>
      <c r="M105" s="7"/>
      <c r="N105" s="7">
        <v>494.25</v>
      </c>
      <c r="O105" s="7">
        <v>16.100000000000001</v>
      </c>
      <c r="P105" s="7"/>
      <c r="Q105" s="15">
        <f t="shared" si="4"/>
        <v>1036.3</v>
      </c>
    </row>
    <row r="106" spans="1:17" s="3" customFormat="1" ht="23.25" customHeight="1" x14ac:dyDescent="0.2">
      <c r="A106" s="30" t="s">
        <v>101</v>
      </c>
      <c r="B106" s="71" t="s">
        <v>61</v>
      </c>
      <c r="C106" s="9">
        <v>5000</v>
      </c>
      <c r="D106" s="11"/>
      <c r="E106" s="10"/>
      <c r="F106" s="11"/>
      <c r="G106" s="10">
        <f t="shared" si="5"/>
        <v>5000</v>
      </c>
      <c r="H106" s="7">
        <v>79</v>
      </c>
      <c r="I106" s="7">
        <v>1445.7</v>
      </c>
      <c r="J106" s="7">
        <f>65+83</f>
        <v>148</v>
      </c>
      <c r="K106" s="7">
        <v>405</v>
      </c>
      <c r="L106" s="7"/>
      <c r="M106" s="7">
        <v>360</v>
      </c>
      <c r="N106" s="7">
        <v>90</v>
      </c>
      <c r="O106" s="7"/>
      <c r="P106" s="7"/>
      <c r="Q106" s="15">
        <f t="shared" si="4"/>
        <v>2527.6999999999998</v>
      </c>
    </row>
    <row r="107" spans="1:17" s="3" customFormat="1" ht="22.5" x14ac:dyDescent="0.2">
      <c r="A107" s="30" t="s">
        <v>102</v>
      </c>
      <c r="B107" s="71" t="s">
        <v>62</v>
      </c>
      <c r="C107" s="9">
        <v>3000</v>
      </c>
      <c r="D107" s="9"/>
      <c r="E107" s="10"/>
      <c r="F107" s="9"/>
      <c r="G107" s="10">
        <f t="shared" si="5"/>
        <v>3000</v>
      </c>
      <c r="H107" s="7">
        <v>842.6</v>
      </c>
      <c r="I107" s="7"/>
      <c r="J107" s="7">
        <v>230.9</v>
      </c>
      <c r="K107" s="7"/>
      <c r="L107" s="7"/>
      <c r="M107" s="7"/>
      <c r="N107" s="7">
        <v>52</v>
      </c>
      <c r="O107" s="7"/>
      <c r="P107" s="7">
        <v>151.44999999999999</v>
      </c>
      <c r="Q107" s="15">
        <f t="shared" si="4"/>
        <v>1276.95</v>
      </c>
    </row>
    <row r="108" spans="1:17" s="3" customFormat="1" ht="22.5" x14ac:dyDescent="0.2">
      <c r="A108" s="30">
        <v>294</v>
      </c>
      <c r="B108" s="71" t="s">
        <v>63</v>
      </c>
      <c r="C108" s="9">
        <v>250000</v>
      </c>
      <c r="D108" s="9"/>
      <c r="E108" s="10"/>
      <c r="F108" s="9"/>
      <c r="G108" s="10">
        <f t="shared" si="5"/>
        <v>250000</v>
      </c>
      <c r="H108" s="7"/>
      <c r="I108" s="7">
        <v>52720</v>
      </c>
      <c r="J108" s="7"/>
      <c r="K108" s="7">
        <v>3350</v>
      </c>
      <c r="L108" s="7">
        <v>786.15</v>
      </c>
      <c r="M108" s="7">
        <v>1560</v>
      </c>
      <c r="N108" s="7">
        <f>40680+40+13380</f>
        <v>54100</v>
      </c>
      <c r="O108" s="7">
        <v>7100</v>
      </c>
      <c r="P108" s="7">
        <v>27100</v>
      </c>
      <c r="Q108" s="15">
        <f t="shared" si="4"/>
        <v>146716.15</v>
      </c>
    </row>
    <row r="109" spans="1:17" s="3" customFormat="1" ht="22.5" x14ac:dyDescent="0.2">
      <c r="A109" s="30" t="s">
        <v>103</v>
      </c>
      <c r="B109" s="71" t="s">
        <v>64</v>
      </c>
      <c r="C109" s="9">
        <v>15000</v>
      </c>
      <c r="D109" s="9"/>
      <c r="E109" s="10"/>
      <c r="F109" s="9"/>
      <c r="G109" s="10">
        <f t="shared" si="5"/>
        <v>15000</v>
      </c>
      <c r="H109" s="7">
        <v>565</v>
      </c>
      <c r="I109" s="7"/>
      <c r="J109" s="7"/>
      <c r="K109" s="7"/>
      <c r="L109" s="7"/>
      <c r="M109" s="7"/>
      <c r="N109" s="7"/>
      <c r="O109" s="7"/>
      <c r="P109" s="7"/>
      <c r="Q109" s="15">
        <f t="shared" si="4"/>
        <v>565</v>
      </c>
    </row>
    <row r="110" spans="1:17" s="3" customFormat="1" ht="12.75" x14ac:dyDescent="0.2">
      <c r="A110" s="61" t="s">
        <v>104</v>
      </c>
      <c r="B110" s="75" t="s">
        <v>65</v>
      </c>
      <c r="C110" s="9"/>
      <c r="D110" s="11"/>
      <c r="E110" s="10"/>
      <c r="F110" s="9"/>
      <c r="G110" s="10"/>
      <c r="H110" s="7"/>
      <c r="I110" s="7"/>
      <c r="J110" s="7"/>
      <c r="K110" s="7"/>
      <c r="L110" s="7"/>
      <c r="M110" s="7"/>
      <c r="N110" s="7"/>
      <c r="O110" s="7"/>
      <c r="P110" s="7"/>
      <c r="Q110" s="15">
        <f t="shared" si="4"/>
        <v>0</v>
      </c>
    </row>
    <row r="111" spans="1:17" s="3" customFormat="1" ht="12.75" x14ac:dyDescent="0.2">
      <c r="A111" s="30">
        <v>322</v>
      </c>
      <c r="B111" s="71" t="s">
        <v>66</v>
      </c>
      <c r="C111" s="9">
        <v>35000</v>
      </c>
      <c r="D111" s="11"/>
      <c r="E111" s="10"/>
      <c r="F111" s="9"/>
      <c r="G111" s="10">
        <f>C111+D111-E111+F111</f>
        <v>35000</v>
      </c>
      <c r="H111" s="7"/>
      <c r="I111" s="7">
        <v>1211.69</v>
      </c>
      <c r="J111" s="7">
        <v>2400</v>
      </c>
      <c r="K111" s="7"/>
      <c r="L111" s="7"/>
      <c r="M111" s="7"/>
      <c r="N111" s="7"/>
      <c r="O111" s="7"/>
      <c r="P111" s="7"/>
      <c r="Q111" s="15">
        <f t="shared" si="4"/>
        <v>3611.69</v>
      </c>
    </row>
    <row r="112" spans="1:17" s="3" customFormat="1" ht="22.5" x14ac:dyDescent="0.2">
      <c r="A112" s="30">
        <v>324</v>
      </c>
      <c r="B112" s="31" t="s">
        <v>82</v>
      </c>
      <c r="C112" s="9">
        <v>20000</v>
      </c>
      <c r="D112" s="11"/>
      <c r="E112" s="10"/>
      <c r="F112" s="11"/>
      <c r="G112" s="10">
        <f>C112+D112-E112+F112</f>
        <v>20000</v>
      </c>
      <c r="H112" s="7"/>
      <c r="I112" s="7"/>
      <c r="J112" s="7"/>
      <c r="K112" s="7"/>
      <c r="L112" s="7"/>
      <c r="M112" s="7"/>
      <c r="N112" s="7"/>
      <c r="O112" s="7"/>
      <c r="P112" s="7"/>
      <c r="Q112" s="15">
        <f t="shared" si="4"/>
        <v>0</v>
      </c>
    </row>
    <row r="113" spans="1:17" s="3" customFormat="1" ht="12.75" x14ac:dyDescent="0.2">
      <c r="A113" s="30">
        <v>328</v>
      </c>
      <c r="B113" s="31" t="s">
        <v>67</v>
      </c>
      <c r="C113" s="9">
        <v>25000</v>
      </c>
      <c r="D113" s="11"/>
      <c r="E113" s="10"/>
      <c r="F113" s="11"/>
      <c r="G113" s="29">
        <f>C113+D113-E113+F113</f>
        <v>25000</v>
      </c>
      <c r="H113" s="7">
        <v>949</v>
      </c>
      <c r="I113" s="7"/>
      <c r="J113" s="7"/>
      <c r="K113" s="7"/>
      <c r="L113" s="7"/>
      <c r="M113" s="7"/>
      <c r="N113" s="7"/>
      <c r="O113" s="7"/>
      <c r="P113" s="7"/>
      <c r="Q113" s="15">
        <f t="shared" si="4"/>
        <v>949</v>
      </c>
    </row>
    <row r="114" spans="1:17" s="3" customFormat="1" ht="12.75" x14ac:dyDescent="0.2">
      <c r="A114" s="92">
        <v>329</v>
      </c>
      <c r="B114" s="69"/>
      <c r="C114" s="9"/>
      <c r="D114" s="29"/>
      <c r="E114" s="10"/>
      <c r="F114" s="29"/>
      <c r="G114" s="29"/>
      <c r="H114" s="73"/>
      <c r="I114" s="73"/>
      <c r="J114" s="73"/>
      <c r="K114" s="73"/>
      <c r="L114" s="7"/>
      <c r="M114" s="7"/>
      <c r="N114" s="94">
        <v>16000</v>
      </c>
      <c r="O114" s="73"/>
      <c r="P114" s="73"/>
      <c r="Q114" s="15">
        <f t="shared" si="4"/>
        <v>16000</v>
      </c>
    </row>
    <row r="115" spans="1:17" ht="12.75" x14ac:dyDescent="0.2">
      <c r="A115" s="61" t="s">
        <v>105</v>
      </c>
      <c r="B115" s="76" t="s">
        <v>68</v>
      </c>
      <c r="C115" s="9"/>
      <c r="D115" s="10"/>
      <c r="E115" s="10"/>
      <c r="F115" s="10"/>
      <c r="G115" s="10"/>
      <c r="H115" s="73"/>
      <c r="I115" s="73"/>
      <c r="J115" s="73"/>
      <c r="K115" s="7"/>
      <c r="L115" s="7"/>
      <c r="M115" s="7"/>
      <c r="N115" s="7"/>
      <c r="O115" s="73"/>
      <c r="P115" s="73"/>
      <c r="Q115" s="15">
        <f t="shared" si="4"/>
        <v>0</v>
      </c>
    </row>
    <row r="116" spans="1:17" ht="12.75" x14ac:dyDescent="0.2">
      <c r="A116" s="30" t="s">
        <v>106</v>
      </c>
      <c r="B116" s="77" t="s">
        <v>69</v>
      </c>
      <c r="C116" s="14">
        <v>80510.5</v>
      </c>
      <c r="D116" s="9"/>
      <c r="E116" s="9"/>
      <c r="F116" s="9"/>
      <c r="G116" s="9">
        <f>+C116+D116-E116+F116</f>
        <v>80510.5</v>
      </c>
      <c r="H116" s="87">
        <v>78500</v>
      </c>
      <c r="I116" s="7"/>
      <c r="J116" s="7"/>
      <c r="K116" s="7"/>
      <c r="L116" s="7"/>
      <c r="M116" s="7"/>
      <c r="N116" s="7"/>
      <c r="O116" s="7"/>
      <c r="P116" s="7"/>
      <c r="Q116" s="15">
        <f t="shared" si="4"/>
        <v>78500</v>
      </c>
    </row>
    <row r="117" spans="1:17" ht="22.5" x14ac:dyDescent="0.2">
      <c r="A117" s="30">
        <v>415</v>
      </c>
      <c r="B117" s="77" t="s">
        <v>70</v>
      </c>
      <c r="C117" s="14">
        <v>0</v>
      </c>
      <c r="D117" s="9"/>
      <c r="E117" s="9"/>
      <c r="F117" s="9"/>
      <c r="G117" s="9">
        <f>+C117+D117-E117+F117</f>
        <v>0</v>
      </c>
      <c r="H117" s="87"/>
      <c r="I117" s="7"/>
      <c r="J117" s="7"/>
      <c r="K117" s="7">
        <v>-3393</v>
      </c>
      <c r="L117" s="7"/>
      <c r="M117" s="7"/>
      <c r="N117" s="7">
        <f>4000+2500+27099+11142</f>
        <v>44741</v>
      </c>
      <c r="O117" s="7"/>
      <c r="P117" s="7"/>
      <c r="Q117" s="15">
        <f t="shared" si="4"/>
        <v>41348</v>
      </c>
    </row>
    <row r="118" spans="1:17" ht="22.5" x14ac:dyDescent="0.2">
      <c r="A118" s="30">
        <v>419</v>
      </c>
      <c r="B118" s="71" t="s">
        <v>71</v>
      </c>
      <c r="C118" s="12">
        <v>378294.52</v>
      </c>
      <c r="D118" s="9"/>
      <c r="E118" s="9"/>
      <c r="F118" s="9"/>
      <c r="G118" s="9">
        <f>+C118+D118-E118+F118</f>
        <v>378294.52</v>
      </c>
      <c r="H118" s="7"/>
      <c r="I118" s="7"/>
      <c r="J118" s="7"/>
      <c r="K118" s="7">
        <f>7874.67+17620.55+3976.48</f>
        <v>29471.7</v>
      </c>
      <c r="L118" s="7">
        <f>8800+19392.42</f>
        <v>28192.42</v>
      </c>
      <c r="M118" s="7"/>
      <c r="N118" s="7"/>
      <c r="O118" s="7">
        <f>2000+2000+4000</f>
        <v>8000</v>
      </c>
      <c r="P118" s="73">
        <f>15660+15651</f>
        <v>31311</v>
      </c>
      <c r="Q118" s="15">
        <f t="shared" si="4"/>
        <v>96975.12</v>
      </c>
    </row>
    <row r="119" spans="1:17" ht="33.75" x14ac:dyDescent="0.2">
      <c r="A119" s="30">
        <v>472</v>
      </c>
      <c r="B119" s="71" t="s">
        <v>72</v>
      </c>
      <c r="C119" s="12">
        <v>85000</v>
      </c>
      <c r="D119" s="9"/>
      <c r="E119" s="9"/>
      <c r="F119" s="9"/>
      <c r="G119" s="9">
        <f>+C119+D119-E119+F119</f>
        <v>85000</v>
      </c>
      <c r="H119" s="7"/>
      <c r="I119" s="7"/>
      <c r="J119" s="7"/>
      <c r="K119" s="7"/>
      <c r="L119" s="7"/>
      <c r="M119" s="7"/>
      <c r="N119" s="7"/>
      <c r="O119" s="73"/>
      <c r="P119" s="73"/>
      <c r="Q119" s="15">
        <f t="shared" ref="Q119:Q135" si="6">SUM(H119:P119)</f>
        <v>0</v>
      </c>
    </row>
    <row r="120" spans="1:17" ht="22.5" x14ac:dyDescent="0.2">
      <c r="A120" s="30"/>
      <c r="B120" s="71" t="s">
        <v>107</v>
      </c>
      <c r="C120" s="12"/>
      <c r="D120" s="9"/>
      <c r="E120" s="9"/>
      <c r="F120" s="9"/>
      <c r="G120" s="9"/>
      <c r="H120" s="56"/>
      <c r="I120" s="56"/>
      <c r="J120" s="56"/>
      <c r="K120" s="7">
        <v>5390.26</v>
      </c>
      <c r="L120" s="7">
        <v>1756.83</v>
      </c>
      <c r="M120" s="7">
        <v>1756.83</v>
      </c>
      <c r="N120" s="7">
        <v>1756.83</v>
      </c>
      <c r="O120" s="73"/>
      <c r="P120" s="73"/>
      <c r="Q120" s="15">
        <f t="shared" si="6"/>
        <v>10660.75</v>
      </c>
    </row>
    <row r="121" spans="1:17" ht="22.5" x14ac:dyDescent="0.2">
      <c r="A121" s="30"/>
      <c r="B121" s="71" t="s">
        <v>114</v>
      </c>
      <c r="C121" s="12">
        <v>0</v>
      </c>
      <c r="D121" s="9"/>
      <c r="E121" s="9"/>
      <c r="F121" s="9"/>
      <c r="G121" s="9">
        <f>+C121+D121-E121+F121</f>
        <v>0</v>
      </c>
      <c r="H121" s="57">
        <v>2837.14</v>
      </c>
      <c r="I121" s="7">
        <v>1739.14</v>
      </c>
      <c r="J121" s="7">
        <v>1739.14</v>
      </c>
      <c r="K121" s="7"/>
      <c r="L121" s="7">
        <v>744.29</v>
      </c>
      <c r="M121" s="7">
        <v>744.29</v>
      </c>
      <c r="N121" s="7">
        <v>744.29</v>
      </c>
      <c r="O121" s="73">
        <v>2047.01</v>
      </c>
      <c r="P121" s="73">
        <v>1756.83</v>
      </c>
      <c r="Q121" s="15">
        <f t="shared" si="6"/>
        <v>12352.130000000001</v>
      </c>
    </row>
    <row r="122" spans="1:17" ht="15" x14ac:dyDescent="0.2">
      <c r="A122" s="30"/>
      <c r="B122" s="71" t="s">
        <v>115</v>
      </c>
      <c r="C122" s="12">
        <v>0</v>
      </c>
      <c r="D122" s="9"/>
      <c r="E122" s="9"/>
      <c r="F122" s="9"/>
      <c r="G122" s="9">
        <f>+C122+D122-E122+F122</f>
        <v>0</v>
      </c>
      <c r="H122" s="57">
        <v>728.61</v>
      </c>
      <c r="I122" s="84"/>
      <c r="J122" s="7">
        <v>646.63</v>
      </c>
      <c r="K122" s="7"/>
      <c r="L122" s="7"/>
      <c r="M122" s="7"/>
      <c r="N122" s="7"/>
      <c r="O122" s="73">
        <v>744.29</v>
      </c>
      <c r="P122" s="73">
        <v>744.29</v>
      </c>
      <c r="Q122" s="15">
        <f t="shared" si="6"/>
        <v>2863.8199999999997</v>
      </c>
    </row>
    <row r="123" spans="1:17" ht="12.75" x14ac:dyDescent="0.2">
      <c r="A123" s="30"/>
      <c r="B123" s="71" t="s">
        <v>116</v>
      </c>
      <c r="C123" s="12">
        <v>0</v>
      </c>
      <c r="D123" s="9"/>
      <c r="E123" s="9"/>
      <c r="F123" s="9"/>
      <c r="G123" s="9">
        <f>+C123+D123-E123+F123</f>
        <v>0</v>
      </c>
      <c r="H123" s="57">
        <v>9281.73</v>
      </c>
      <c r="I123" s="7"/>
      <c r="J123" s="7"/>
      <c r="K123" s="7"/>
      <c r="L123" s="7"/>
      <c r="M123" s="7"/>
      <c r="N123" s="7"/>
      <c r="O123" s="73">
        <f>2259.9+1714.2</f>
        <v>3974.1000000000004</v>
      </c>
      <c r="P123" s="73">
        <v>350</v>
      </c>
      <c r="Q123" s="15">
        <f t="shared" si="6"/>
        <v>13605.83</v>
      </c>
    </row>
    <row r="124" spans="1:17" ht="22.5" x14ac:dyDescent="0.2">
      <c r="A124" s="30"/>
      <c r="B124" s="71" t="s">
        <v>117</v>
      </c>
      <c r="C124" s="12">
        <v>0</v>
      </c>
      <c r="D124" s="9"/>
      <c r="E124" s="9"/>
      <c r="F124" s="9"/>
      <c r="G124" s="9">
        <f>+C124+D124-E124+F124</f>
        <v>0</v>
      </c>
      <c r="H124" s="57"/>
      <c r="I124" s="7"/>
      <c r="J124" s="7"/>
      <c r="K124" s="7">
        <v>1352.4</v>
      </c>
      <c r="L124" s="7">
        <v>1352.4</v>
      </c>
      <c r="M124" s="7">
        <v>1352.4</v>
      </c>
      <c r="N124" s="7">
        <v>1352.4</v>
      </c>
      <c r="O124" s="73"/>
      <c r="P124" s="73"/>
      <c r="Q124" s="15">
        <f t="shared" si="6"/>
        <v>5409.6</v>
      </c>
    </row>
    <row r="125" spans="1:17" ht="12.75" x14ac:dyDescent="0.2">
      <c r="A125" s="30"/>
      <c r="B125" s="71" t="s">
        <v>118</v>
      </c>
      <c r="C125" s="12">
        <v>0</v>
      </c>
      <c r="D125" s="9"/>
      <c r="E125" s="9"/>
      <c r="F125" s="9"/>
      <c r="G125" s="9">
        <f>+C125+D125-E125+F125</f>
        <v>0</v>
      </c>
      <c r="H125" s="57">
        <v>1218.5999999999999</v>
      </c>
      <c r="I125" s="7">
        <v>1352.39</v>
      </c>
      <c r="J125" s="7">
        <v>1352.4</v>
      </c>
      <c r="K125" s="72"/>
      <c r="L125" s="72"/>
      <c r="M125" s="72"/>
      <c r="N125" s="72"/>
      <c r="O125" s="73">
        <v>1352.4</v>
      </c>
      <c r="P125" s="73">
        <v>1352.4</v>
      </c>
      <c r="Q125" s="15">
        <f t="shared" si="6"/>
        <v>6628.1900000000005</v>
      </c>
    </row>
    <row r="126" spans="1:17" ht="12.75" x14ac:dyDescent="0.2">
      <c r="A126" s="30"/>
      <c r="B126" s="31" t="s">
        <v>131</v>
      </c>
      <c r="C126" s="12">
        <v>0</v>
      </c>
      <c r="D126" s="11"/>
      <c r="E126" s="11"/>
      <c r="F126" s="11"/>
      <c r="G126" s="11"/>
      <c r="H126" s="58"/>
      <c r="I126" s="72"/>
      <c r="J126" s="72"/>
      <c r="K126" s="72"/>
      <c r="L126" s="72"/>
      <c r="M126" s="72"/>
      <c r="N126" s="72"/>
      <c r="O126" s="7"/>
      <c r="P126" s="7"/>
      <c r="Q126" s="15">
        <f t="shared" si="6"/>
        <v>0</v>
      </c>
    </row>
    <row r="127" spans="1:17" ht="12.75" x14ac:dyDescent="0.2">
      <c r="A127" s="30"/>
      <c r="B127" s="31" t="s">
        <v>119</v>
      </c>
      <c r="C127" s="12">
        <v>0</v>
      </c>
      <c r="D127" s="11"/>
      <c r="E127" s="11"/>
      <c r="F127" s="11"/>
      <c r="G127" s="11"/>
      <c r="H127" s="58"/>
      <c r="I127" s="72"/>
      <c r="J127" s="72"/>
      <c r="K127" s="72"/>
      <c r="L127" s="72"/>
      <c r="M127" s="72"/>
      <c r="N127" s="72"/>
      <c r="O127" s="7"/>
      <c r="P127" s="7"/>
      <c r="Q127" s="15">
        <f t="shared" si="6"/>
        <v>0</v>
      </c>
    </row>
    <row r="128" spans="1:17" ht="22.5" x14ac:dyDescent="0.2">
      <c r="A128" s="30"/>
      <c r="B128" s="31" t="s">
        <v>120</v>
      </c>
      <c r="C128" s="12">
        <v>0</v>
      </c>
      <c r="D128" s="11"/>
      <c r="E128" s="11"/>
      <c r="F128" s="11"/>
      <c r="G128" s="11"/>
      <c r="H128" s="58"/>
      <c r="I128" s="72">
        <v>1258.8399999999999</v>
      </c>
      <c r="J128" s="72"/>
      <c r="K128" s="72"/>
      <c r="L128" s="72"/>
      <c r="M128" s="72"/>
      <c r="N128" s="72"/>
      <c r="O128" s="7"/>
      <c r="P128" s="7"/>
      <c r="Q128" s="15">
        <f t="shared" si="6"/>
        <v>1258.8399999999999</v>
      </c>
    </row>
    <row r="129" spans="1:17" ht="22.5" x14ac:dyDescent="0.2">
      <c r="A129" s="30"/>
      <c r="B129" s="31" t="s">
        <v>121</v>
      </c>
      <c r="C129" s="12">
        <v>0</v>
      </c>
      <c r="D129" s="11"/>
      <c r="E129" s="11"/>
      <c r="F129" s="11"/>
      <c r="G129" s="11"/>
      <c r="H129" s="58"/>
      <c r="I129" s="72"/>
      <c r="J129" s="72"/>
      <c r="K129" s="72">
        <v>229.15</v>
      </c>
      <c r="L129" s="72">
        <v>229.15</v>
      </c>
      <c r="M129" s="72">
        <v>229.15</v>
      </c>
      <c r="N129" s="72">
        <v>229.15</v>
      </c>
      <c r="O129" s="7">
        <f>23284.56+2059.15</f>
        <v>25343.710000000003</v>
      </c>
      <c r="P129" s="7"/>
      <c r="Q129" s="15">
        <f t="shared" si="6"/>
        <v>26260.31</v>
      </c>
    </row>
    <row r="130" spans="1:17" ht="12.75" x14ac:dyDescent="0.2">
      <c r="A130" s="30"/>
      <c r="B130" s="31" t="s">
        <v>122</v>
      </c>
      <c r="C130" s="12">
        <v>0</v>
      </c>
      <c r="D130" s="11"/>
      <c r="E130" s="11"/>
      <c r="F130" s="11"/>
      <c r="G130" s="11"/>
      <c r="H130" s="58">
        <v>207.65</v>
      </c>
      <c r="I130" s="72">
        <v>229.15</v>
      </c>
      <c r="J130" s="72">
        <v>229.15</v>
      </c>
      <c r="K130" s="72"/>
      <c r="L130" s="72">
        <v>2466</v>
      </c>
      <c r="M130" s="72"/>
      <c r="N130" s="72">
        <v>1644</v>
      </c>
      <c r="O130" s="7">
        <v>229.15</v>
      </c>
      <c r="P130" s="7">
        <v>229.15</v>
      </c>
      <c r="Q130" s="15">
        <f t="shared" si="6"/>
        <v>5234.2499999999991</v>
      </c>
    </row>
    <row r="131" spans="1:17" ht="12.75" x14ac:dyDescent="0.2">
      <c r="A131" s="30"/>
      <c r="B131" s="31" t="s">
        <v>123</v>
      </c>
      <c r="C131" s="12">
        <v>0</v>
      </c>
      <c r="D131" s="11"/>
      <c r="E131" s="11"/>
      <c r="F131" s="11"/>
      <c r="G131" s="11">
        <f>+C131+D131-E131+F131</f>
        <v>0</v>
      </c>
      <c r="H131" s="58">
        <v>1534.4399999999998</v>
      </c>
      <c r="I131" s="72">
        <v>822</v>
      </c>
      <c r="J131" s="72"/>
      <c r="K131" s="72"/>
      <c r="L131" s="72"/>
      <c r="M131" s="72"/>
      <c r="N131" s="72"/>
      <c r="O131" s="7">
        <f>1559.73+454.5</f>
        <v>2014.23</v>
      </c>
      <c r="P131" s="7">
        <v>105</v>
      </c>
      <c r="Q131" s="15">
        <f t="shared" si="6"/>
        <v>4475.67</v>
      </c>
    </row>
    <row r="132" spans="1:17" ht="12.75" x14ac:dyDescent="0.2">
      <c r="A132" s="30"/>
      <c r="B132" s="31" t="s">
        <v>130</v>
      </c>
      <c r="C132" s="13">
        <v>0</v>
      </c>
      <c r="D132" s="11"/>
      <c r="E132" s="11"/>
      <c r="F132" s="11"/>
      <c r="G132" s="11">
        <f>+C132+D132-E132+F132</f>
        <v>0</v>
      </c>
      <c r="H132" s="58"/>
      <c r="I132" s="72"/>
      <c r="J132" s="72"/>
      <c r="K132" s="72"/>
      <c r="L132" s="72"/>
      <c r="M132" s="72"/>
      <c r="N132" s="72"/>
      <c r="O132" s="7"/>
      <c r="P132" s="72"/>
      <c r="Q132" s="15">
        <f t="shared" si="6"/>
        <v>0</v>
      </c>
    </row>
    <row r="133" spans="1:17" ht="33.75" x14ac:dyDescent="0.2">
      <c r="A133" s="30"/>
      <c r="B133" s="31" t="s">
        <v>125</v>
      </c>
      <c r="C133" s="13"/>
      <c r="D133" s="11"/>
      <c r="E133" s="11"/>
      <c r="F133" s="11"/>
      <c r="G133" s="11"/>
      <c r="H133" s="90">
        <v>798.77</v>
      </c>
      <c r="I133" s="72"/>
      <c r="J133" s="72"/>
      <c r="K133" s="72"/>
      <c r="L133" s="72"/>
      <c r="M133" s="72"/>
      <c r="N133" s="72"/>
      <c r="O133" s="7"/>
      <c r="P133" s="72"/>
      <c r="Q133" s="15">
        <f t="shared" si="6"/>
        <v>798.77</v>
      </c>
    </row>
    <row r="134" spans="1:17" ht="33.75" x14ac:dyDescent="0.2">
      <c r="A134" s="30"/>
      <c r="B134" s="31" t="s">
        <v>124</v>
      </c>
      <c r="C134" s="13"/>
      <c r="D134" s="11"/>
      <c r="E134" s="11"/>
      <c r="F134" s="11"/>
      <c r="G134" s="11"/>
      <c r="H134" s="90">
        <v>4543.0200000000004</v>
      </c>
      <c r="I134" s="72"/>
      <c r="J134" s="72"/>
      <c r="K134" s="72"/>
      <c r="L134" s="72"/>
      <c r="M134" s="72"/>
      <c r="N134" s="72"/>
      <c r="O134" s="7"/>
      <c r="P134" s="72"/>
      <c r="Q134" s="15">
        <f t="shared" si="6"/>
        <v>4543.0200000000004</v>
      </c>
    </row>
    <row r="135" spans="1:17" ht="13.5" thickBot="1" x14ac:dyDescent="0.25">
      <c r="A135" s="30"/>
      <c r="B135" s="31" t="s">
        <v>144</v>
      </c>
      <c r="C135" s="13">
        <v>163556.72</v>
      </c>
      <c r="D135" s="11"/>
      <c r="E135" s="11"/>
      <c r="F135" s="11"/>
      <c r="G135" s="11">
        <f>+C135</f>
        <v>163556.72</v>
      </c>
      <c r="H135" s="58">
        <v>116778.89</v>
      </c>
      <c r="I135" s="72"/>
      <c r="J135" s="72"/>
      <c r="K135" s="72"/>
      <c r="L135" s="72"/>
      <c r="M135" s="72"/>
      <c r="N135" s="72"/>
      <c r="O135" s="111"/>
      <c r="P135" s="72"/>
      <c r="Q135" s="15">
        <f t="shared" si="6"/>
        <v>116778.89</v>
      </c>
    </row>
    <row r="136" spans="1:17" ht="12.75" thickBot="1" x14ac:dyDescent="0.25">
      <c r="A136" s="62"/>
      <c r="B136" s="78" t="s">
        <v>73</v>
      </c>
      <c r="C136" s="9">
        <f t="shared" ref="C136:Q136" si="7">SUM(C53:C135)</f>
        <v>4972254.13</v>
      </c>
      <c r="D136" s="9">
        <f t="shared" si="7"/>
        <v>0</v>
      </c>
      <c r="E136" s="9">
        <f t="shared" si="7"/>
        <v>0</v>
      </c>
      <c r="F136" s="9">
        <f t="shared" si="7"/>
        <v>0</v>
      </c>
      <c r="G136" s="9">
        <f t="shared" si="7"/>
        <v>4972254.13</v>
      </c>
      <c r="H136" s="9">
        <f t="shared" si="7"/>
        <v>372795.58</v>
      </c>
      <c r="I136" s="9">
        <f t="shared" si="7"/>
        <v>205372.09000000003</v>
      </c>
      <c r="J136" s="9">
        <f t="shared" si="7"/>
        <v>348176.14000000019</v>
      </c>
      <c r="K136" s="9">
        <f t="shared" si="7"/>
        <v>246585.91999999998</v>
      </c>
      <c r="L136" s="9">
        <f t="shared" si="7"/>
        <v>454287.06</v>
      </c>
      <c r="M136" s="9">
        <f t="shared" si="7"/>
        <v>397075.42000000004</v>
      </c>
      <c r="N136" s="9">
        <f t="shared" si="7"/>
        <v>326514.09000000008</v>
      </c>
      <c r="O136" s="9">
        <f t="shared" si="7"/>
        <v>342993.29</v>
      </c>
      <c r="P136" s="9">
        <f t="shared" si="7"/>
        <v>274190.43000000005</v>
      </c>
      <c r="Q136" s="9">
        <f t="shared" si="7"/>
        <v>2967990.0199999996</v>
      </c>
    </row>
    <row r="137" spans="1:17" ht="23.25" thickBot="1" x14ac:dyDescent="0.25">
      <c r="A137" s="40"/>
      <c r="B137" s="42" t="s">
        <v>134</v>
      </c>
      <c r="C137" s="41"/>
      <c r="D137" s="63"/>
      <c r="E137" s="63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</row>
    <row r="138" spans="1:17" x14ac:dyDescent="0.2">
      <c r="C138" s="91"/>
    </row>
    <row r="139" spans="1:17" x14ac:dyDescent="0.2">
      <c r="G139" s="91">
        <f>+G136-G34</f>
        <v>0</v>
      </c>
    </row>
  </sheetData>
  <mergeCells count="17">
    <mergeCell ref="B17:G17"/>
    <mergeCell ref="B14:H14"/>
    <mergeCell ref="B15:H15"/>
    <mergeCell ref="B13:H13"/>
    <mergeCell ref="B10:H10"/>
    <mergeCell ref="B11:H11"/>
    <mergeCell ref="B12:H12"/>
    <mergeCell ref="B4:H4"/>
    <mergeCell ref="D18:F18"/>
    <mergeCell ref="D51:F51"/>
    <mergeCell ref="B16:G16"/>
    <mergeCell ref="B50:G50"/>
    <mergeCell ref="B45:H45"/>
    <mergeCell ref="B46:H46"/>
    <mergeCell ref="B39:H39"/>
    <mergeCell ref="B48:H48"/>
    <mergeCell ref="B49:H49"/>
  </mergeCells>
  <pageMargins left="1.5748031496062993" right="0.51181102362204722" top="1.5748031496062993" bottom="1.1811023622047245" header="0.31496062992125984" footer="0.31496062992125984"/>
  <pageSetup scale="65" orientation="landscape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7"/>
  <sheetViews>
    <sheetView tabSelected="1" topLeftCell="A22" workbookViewId="0">
      <selection activeCell="B41" sqref="B41:G41"/>
    </sheetView>
  </sheetViews>
  <sheetFormatPr baseColWidth="10" defaultColWidth="11" defaultRowHeight="12" x14ac:dyDescent="0.2"/>
  <cols>
    <col min="1" max="1" width="8.28515625" style="2" customWidth="1"/>
    <col min="2" max="2" width="24.7109375" style="2" customWidth="1"/>
    <col min="3" max="3" width="16" style="2" customWidth="1"/>
    <col min="4" max="4" width="12.85546875" style="2" customWidth="1"/>
    <col min="5" max="5" width="12.28515625" style="2" customWidth="1"/>
    <col min="6" max="6" width="13.7109375" style="2" customWidth="1"/>
    <col min="7" max="7" width="13.42578125" style="2" customWidth="1"/>
    <col min="8" max="16384" width="11" style="2"/>
  </cols>
  <sheetData>
    <row r="1" spans="2:7" x14ac:dyDescent="0.2">
      <c r="B1" s="102" t="s">
        <v>81</v>
      </c>
      <c r="C1" s="102"/>
      <c r="D1" s="102"/>
      <c r="E1" s="102"/>
      <c r="F1" s="102"/>
      <c r="G1" s="102"/>
    </row>
    <row r="2" spans="2:7" x14ac:dyDescent="0.2">
      <c r="B2" s="102" t="s">
        <v>74</v>
      </c>
      <c r="C2" s="102"/>
      <c r="D2" s="102"/>
      <c r="E2" s="102"/>
      <c r="F2" s="102"/>
      <c r="G2" s="102"/>
    </row>
    <row r="3" spans="2:7" x14ac:dyDescent="0.2">
      <c r="B3" s="102" t="s">
        <v>75</v>
      </c>
      <c r="C3" s="102"/>
      <c r="D3" s="102"/>
      <c r="E3" s="102"/>
      <c r="F3" s="102"/>
      <c r="G3" s="102"/>
    </row>
    <row r="4" spans="2:7" x14ac:dyDescent="0.2">
      <c r="B4" s="102" t="s">
        <v>76</v>
      </c>
      <c r="C4" s="102"/>
      <c r="D4" s="102"/>
      <c r="E4" s="102"/>
      <c r="F4" s="102"/>
      <c r="G4" s="102"/>
    </row>
    <row r="5" spans="2:7" x14ac:dyDescent="0.2">
      <c r="B5" s="102" t="s">
        <v>137</v>
      </c>
      <c r="C5" s="102"/>
      <c r="D5" s="102"/>
      <c r="E5" s="102"/>
      <c r="F5" s="102"/>
      <c r="G5" s="102"/>
    </row>
    <row r="6" spans="2:7" x14ac:dyDescent="0.2">
      <c r="B6" s="102" t="s">
        <v>109</v>
      </c>
      <c r="C6" s="102"/>
      <c r="D6" s="102"/>
      <c r="E6" s="102"/>
      <c r="F6" s="102"/>
      <c r="G6" s="102"/>
    </row>
    <row r="7" spans="2:7" x14ac:dyDescent="0.2">
      <c r="B7" s="102" t="s">
        <v>135</v>
      </c>
      <c r="C7" s="102"/>
      <c r="D7" s="102"/>
      <c r="E7" s="102"/>
      <c r="F7" s="102"/>
      <c r="G7" s="102"/>
    </row>
    <row r="8" spans="2:7" x14ac:dyDescent="0.2">
      <c r="B8" s="102" t="s">
        <v>142</v>
      </c>
      <c r="C8" s="102"/>
      <c r="D8" s="102"/>
      <c r="E8" s="102"/>
      <c r="F8" s="102"/>
      <c r="G8" s="102"/>
    </row>
    <row r="9" spans="2:7" x14ac:dyDescent="0.2">
      <c r="B9" s="4"/>
      <c r="C9" s="4"/>
      <c r="D9" s="4"/>
      <c r="E9" s="4"/>
      <c r="F9" s="4"/>
      <c r="G9" s="4"/>
    </row>
    <row r="10" spans="2:7" x14ac:dyDescent="0.2">
      <c r="B10" s="102" t="s">
        <v>77</v>
      </c>
      <c r="C10" s="102"/>
      <c r="D10" s="102"/>
      <c r="E10" s="102"/>
      <c r="F10" s="102"/>
      <c r="G10" s="102"/>
    </row>
    <row r="11" spans="2:7" x14ac:dyDescent="0.2">
      <c r="B11" s="102" t="s">
        <v>78</v>
      </c>
      <c r="C11" s="102"/>
      <c r="D11" s="102"/>
      <c r="E11" s="102"/>
      <c r="F11" s="102"/>
      <c r="G11" s="102"/>
    </row>
    <row r="12" spans="2:7" x14ac:dyDescent="0.2">
      <c r="B12" s="102" t="s">
        <v>79</v>
      </c>
      <c r="C12" s="102"/>
      <c r="D12" s="102"/>
      <c r="E12" s="102"/>
      <c r="F12" s="102"/>
      <c r="G12" s="102"/>
    </row>
    <row r="13" spans="2:7" ht="20.25" customHeight="1" x14ac:dyDescent="0.2">
      <c r="B13" s="102"/>
      <c r="C13" s="102"/>
      <c r="D13" s="102"/>
      <c r="E13" s="102"/>
      <c r="F13" s="102"/>
      <c r="G13" s="102"/>
    </row>
    <row r="14" spans="2:7" x14ac:dyDescent="0.2">
      <c r="B14" s="102" t="s">
        <v>108</v>
      </c>
      <c r="C14" s="102"/>
      <c r="D14" s="102"/>
      <c r="E14" s="102"/>
      <c r="F14" s="102"/>
      <c r="G14" s="102"/>
    </row>
    <row r="15" spans="2:7" ht="13.5" customHeight="1" thickBot="1" x14ac:dyDescent="0.25">
      <c r="B15" s="103" t="s">
        <v>0</v>
      </c>
      <c r="C15" s="103"/>
      <c r="D15" s="103"/>
      <c r="E15" s="103"/>
      <c r="F15" s="103"/>
      <c r="G15" s="103"/>
    </row>
    <row r="16" spans="2:7" ht="13.5" customHeight="1" thickBot="1" x14ac:dyDescent="0.25">
      <c r="B16" s="18"/>
      <c r="C16" s="18"/>
      <c r="D16" s="18"/>
      <c r="E16" s="18"/>
      <c r="F16" s="18"/>
      <c r="G16" s="18"/>
    </row>
    <row r="17" spans="2:7" ht="27" x14ac:dyDescent="0.2">
      <c r="B17" s="46" t="s">
        <v>2</v>
      </c>
      <c r="C17" s="47" t="s">
        <v>110</v>
      </c>
      <c r="D17" s="48" t="s">
        <v>3</v>
      </c>
      <c r="E17" s="48" t="s">
        <v>4</v>
      </c>
      <c r="F17" s="49" t="s">
        <v>111</v>
      </c>
      <c r="G17" s="48" t="s">
        <v>5</v>
      </c>
    </row>
    <row r="18" spans="2:7" ht="12.75" x14ac:dyDescent="0.2">
      <c r="B18" s="50" t="s">
        <v>7</v>
      </c>
      <c r="C18" s="51">
        <f>59602.79+1.93+59552+44400</f>
        <v>163556.72</v>
      </c>
      <c r="D18" s="15"/>
      <c r="E18" s="15"/>
      <c r="F18" s="15"/>
      <c r="G18" s="15">
        <f>+C18</f>
        <v>163556.72</v>
      </c>
    </row>
    <row r="19" spans="2:7" ht="12.75" x14ac:dyDescent="0.2">
      <c r="B19" s="52" t="s">
        <v>8</v>
      </c>
      <c r="C19" s="51">
        <v>4276114.22</v>
      </c>
      <c r="D19" s="51"/>
      <c r="E19" s="51"/>
      <c r="F19" s="51"/>
      <c r="G19" s="15">
        <f t="shared" ref="G19:G29" si="0">+C19+D19-E19+F19</f>
        <v>4276114.22</v>
      </c>
    </row>
    <row r="20" spans="2:7" ht="12.75" x14ac:dyDescent="0.2">
      <c r="B20" s="52" t="s">
        <v>136</v>
      </c>
      <c r="C20" s="51"/>
      <c r="D20" s="51"/>
      <c r="E20" s="51"/>
      <c r="F20" s="51"/>
      <c r="G20" s="15">
        <f t="shared" si="0"/>
        <v>0</v>
      </c>
    </row>
    <row r="21" spans="2:7" ht="25.5" x14ac:dyDescent="0.2">
      <c r="B21" s="52" t="s">
        <v>127</v>
      </c>
      <c r="C21" s="51">
        <v>55000</v>
      </c>
      <c r="D21" s="51"/>
      <c r="E21" s="51"/>
      <c r="F21" s="51"/>
      <c r="G21" s="15">
        <f t="shared" si="0"/>
        <v>55000</v>
      </c>
    </row>
    <row r="22" spans="2:7" ht="25.5" x14ac:dyDescent="0.2">
      <c r="B22" s="52" t="s">
        <v>9</v>
      </c>
      <c r="C22" s="15"/>
      <c r="D22" s="15"/>
      <c r="E22" s="15"/>
      <c r="F22" s="15"/>
      <c r="G22" s="15">
        <f t="shared" si="0"/>
        <v>0</v>
      </c>
    </row>
    <row r="23" spans="2:7" ht="12.75" x14ac:dyDescent="0.2">
      <c r="B23" s="52" t="s">
        <v>133</v>
      </c>
      <c r="C23" s="15">
        <v>41119.82</v>
      </c>
      <c r="D23" s="15"/>
      <c r="E23" s="15"/>
      <c r="F23" s="15"/>
      <c r="G23" s="15">
        <f t="shared" si="0"/>
        <v>41119.82</v>
      </c>
    </row>
    <row r="24" spans="2:7" ht="12.75" x14ac:dyDescent="0.2">
      <c r="B24" s="52" t="s">
        <v>10</v>
      </c>
      <c r="C24" s="15">
        <v>422463.37</v>
      </c>
      <c r="D24" s="15"/>
      <c r="E24" s="15"/>
      <c r="F24" s="15"/>
      <c r="G24" s="15">
        <f t="shared" si="0"/>
        <v>422463.37</v>
      </c>
    </row>
    <row r="25" spans="2:7" ht="12.75" x14ac:dyDescent="0.2">
      <c r="B25" s="52" t="s">
        <v>130</v>
      </c>
      <c r="C25" s="15"/>
      <c r="D25" s="15"/>
      <c r="E25" s="15"/>
      <c r="F25" s="15"/>
      <c r="G25" s="15">
        <f t="shared" si="0"/>
        <v>0</v>
      </c>
    </row>
    <row r="26" spans="2:7" ht="25.5" x14ac:dyDescent="0.2">
      <c r="B26" s="52" t="s">
        <v>11</v>
      </c>
      <c r="C26" s="51">
        <v>10000</v>
      </c>
      <c r="D26" s="51"/>
      <c r="E26" s="51"/>
      <c r="F26" s="51"/>
      <c r="G26" s="15">
        <f t="shared" si="0"/>
        <v>10000</v>
      </c>
    </row>
    <row r="27" spans="2:7" ht="12.75" x14ac:dyDescent="0.2">
      <c r="B27" s="52" t="s">
        <v>12</v>
      </c>
      <c r="C27" s="51">
        <v>4000</v>
      </c>
      <c r="D27" s="51"/>
      <c r="E27" s="51"/>
      <c r="F27" s="51"/>
      <c r="G27" s="15">
        <f t="shared" si="0"/>
        <v>4000</v>
      </c>
    </row>
    <row r="28" spans="2:7" ht="25.5" x14ac:dyDescent="0.2">
      <c r="B28" s="52" t="s">
        <v>112</v>
      </c>
      <c r="C28" s="15"/>
      <c r="D28" s="53"/>
      <c r="E28" s="53"/>
      <c r="F28" s="53"/>
      <c r="G28" s="15">
        <f t="shared" si="0"/>
        <v>0</v>
      </c>
    </row>
    <row r="29" spans="2:7" ht="25.5" x14ac:dyDescent="0.2">
      <c r="B29" s="52" t="s">
        <v>13</v>
      </c>
      <c r="C29" s="15"/>
      <c r="D29" s="15"/>
      <c r="E29" s="15"/>
      <c r="F29" s="15"/>
      <c r="G29" s="15">
        <f t="shared" si="0"/>
        <v>0</v>
      </c>
    </row>
    <row r="30" spans="2:7" ht="12.75" x14ac:dyDescent="0.2">
      <c r="B30" s="52" t="s">
        <v>128</v>
      </c>
      <c r="C30" s="15"/>
      <c r="D30" s="15"/>
      <c r="E30" s="15"/>
      <c r="F30" s="15"/>
      <c r="G30" s="15"/>
    </row>
    <row r="31" spans="2:7" ht="13.5" thickBot="1" x14ac:dyDescent="0.25">
      <c r="B31" s="54" t="s">
        <v>113</v>
      </c>
      <c r="C31" s="15"/>
      <c r="D31" s="15"/>
      <c r="E31" s="15"/>
      <c r="F31" s="15"/>
      <c r="G31" s="15">
        <f>C31+D31+E31-+F31</f>
        <v>0</v>
      </c>
    </row>
    <row r="32" spans="2:7" ht="13.5" thickBot="1" x14ac:dyDescent="0.25">
      <c r="B32" s="79" t="s">
        <v>14</v>
      </c>
      <c r="C32" s="80">
        <f t="shared" ref="C32:G32" si="1">SUM(C18:C31)</f>
        <v>4972254.13</v>
      </c>
      <c r="D32" s="80">
        <f t="shared" si="1"/>
        <v>0</v>
      </c>
      <c r="E32" s="80">
        <f t="shared" si="1"/>
        <v>0</v>
      </c>
      <c r="F32" s="80">
        <f t="shared" si="1"/>
        <v>0</v>
      </c>
      <c r="G32" s="80">
        <f t="shared" si="1"/>
        <v>4972254.13</v>
      </c>
    </row>
    <row r="33" spans="2:7" ht="12.75" x14ac:dyDescent="0.2">
      <c r="B33" s="21"/>
      <c r="C33" s="32"/>
      <c r="D33" s="32"/>
      <c r="E33" s="32"/>
      <c r="F33" s="32"/>
      <c r="G33" s="32"/>
    </row>
    <row r="34" spans="2:7" ht="12.75" x14ac:dyDescent="0.2">
      <c r="B34" s="21"/>
      <c r="C34" s="32"/>
      <c r="D34" s="32"/>
      <c r="E34" s="32"/>
      <c r="F34" s="32"/>
      <c r="G34" s="32"/>
    </row>
    <row r="35" spans="2:7" x14ac:dyDescent="0.2">
      <c r="B35" s="102" t="s">
        <v>81</v>
      </c>
      <c r="C35" s="102"/>
      <c r="D35" s="102"/>
      <c r="E35" s="102"/>
      <c r="F35" s="102"/>
      <c r="G35" s="102"/>
    </row>
    <row r="36" spans="2:7" x14ac:dyDescent="0.2">
      <c r="B36" s="102" t="s">
        <v>74</v>
      </c>
      <c r="C36" s="102"/>
      <c r="D36" s="102"/>
      <c r="E36" s="102"/>
      <c r="F36" s="102"/>
      <c r="G36" s="102"/>
    </row>
    <row r="37" spans="2:7" x14ac:dyDescent="0.2">
      <c r="B37" s="102" t="s">
        <v>75</v>
      </c>
      <c r="C37" s="102"/>
      <c r="D37" s="102"/>
      <c r="E37" s="102"/>
      <c r="F37" s="102"/>
      <c r="G37" s="102"/>
    </row>
    <row r="38" spans="2:7" x14ac:dyDescent="0.2">
      <c r="B38" s="102" t="s">
        <v>76</v>
      </c>
      <c r="C38" s="102"/>
      <c r="D38" s="102"/>
      <c r="E38" s="102"/>
      <c r="F38" s="102"/>
      <c r="G38" s="102"/>
    </row>
    <row r="39" spans="2:7" x14ac:dyDescent="0.2">
      <c r="B39" s="102" t="s">
        <v>137</v>
      </c>
      <c r="C39" s="102"/>
      <c r="D39" s="102"/>
      <c r="E39" s="102"/>
      <c r="F39" s="102"/>
      <c r="G39" s="102"/>
    </row>
    <row r="40" spans="2:7" x14ac:dyDescent="0.2">
      <c r="B40" s="102" t="s">
        <v>109</v>
      </c>
      <c r="C40" s="102"/>
      <c r="D40" s="102"/>
      <c r="E40" s="102"/>
      <c r="F40" s="102"/>
      <c r="G40" s="102"/>
    </row>
    <row r="41" spans="2:7" x14ac:dyDescent="0.2">
      <c r="B41" s="102" t="s">
        <v>135</v>
      </c>
      <c r="C41" s="102"/>
      <c r="D41" s="102"/>
      <c r="E41" s="102"/>
      <c r="F41" s="102"/>
      <c r="G41" s="102"/>
    </row>
    <row r="42" spans="2:7" x14ac:dyDescent="0.2">
      <c r="B42" s="102" t="s">
        <v>150</v>
      </c>
      <c r="C42" s="102"/>
      <c r="D42" s="102"/>
      <c r="E42" s="102"/>
      <c r="F42" s="102"/>
      <c r="G42" s="102"/>
    </row>
    <row r="43" spans="2:7" x14ac:dyDescent="0.2">
      <c r="B43" s="4"/>
      <c r="C43" s="4"/>
      <c r="D43" s="4"/>
      <c r="E43" s="4"/>
      <c r="F43" s="4"/>
      <c r="G43" s="4"/>
    </row>
    <row r="44" spans="2:7" x14ac:dyDescent="0.2">
      <c r="B44" s="102" t="s">
        <v>77</v>
      </c>
      <c r="C44" s="102"/>
      <c r="D44" s="102"/>
      <c r="E44" s="102"/>
      <c r="F44" s="102"/>
      <c r="G44" s="102"/>
    </row>
    <row r="45" spans="2:7" x14ac:dyDescent="0.2">
      <c r="B45" s="102" t="s">
        <v>78</v>
      </c>
      <c r="C45" s="102"/>
      <c r="D45" s="102"/>
      <c r="E45" s="102"/>
      <c r="F45" s="102"/>
      <c r="G45" s="102"/>
    </row>
    <row r="46" spans="2:7" x14ac:dyDescent="0.2">
      <c r="B46" s="16"/>
      <c r="C46" s="16"/>
      <c r="D46" s="16"/>
      <c r="E46" s="16"/>
      <c r="F46" s="16"/>
      <c r="G46" s="16"/>
    </row>
    <row r="47" spans="2:7" x14ac:dyDescent="0.2">
      <c r="B47" s="102" t="s">
        <v>79</v>
      </c>
      <c r="C47" s="102"/>
      <c r="D47" s="102"/>
      <c r="E47" s="102"/>
      <c r="F47" s="102"/>
      <c r="G47" s="102"/>
    </row>
    <row r="48" spans="2:7" x14ac:dyDescent="0.2">
      <c r="B48" s="102"/>
      <c r="C48" s="102"/>
      <c r="D48" s="102"/>
      <c r="E48" s="102"/>
      <c r="F48" s="102"/>
      <c r="G48" s="102"/>
    </row>
    <row r="49" spans="1:7" x14ac:dyDescent="0.2">
      <c r="B49" s="104" t="s">
        <v>108</v>
      </c>
      <c r="C49" s="104"/>
      <c r="D49" s="104"/>
      <c r="E49" s="104"/>
      <c r="F49" s="104"/>
      <c r="G49" s="104"/>
    </row>
    <row r="50" spans="1:7" x14ac:dyDescent="0.2">
      <c r="B50" s="1"/>
      <c r="C50" s="5"/>
      <c r="D50" s="17"/>
      <c r="E50" s="17"/>
      <c r="F50" s="17"/>
      <c r="G50" s="17"/>
    </row>
    <row r="51" spans="1:7" ht="12.75" thickBot="1" x14ac:dyDescent="0.25">
      <c r="B51" s="105" t="s">
        <v>79</v>
      </c>
      <c r="C51" s="105"/>
      <c r="D51" s="105"/>
      <c r="E51" s="105"/>
      <c r="F51" s="105"/>
      <c r="G51" s="17"/>
    </row>
    <row r="52" spans="1:7" ht="12.75" thickBot="1" x14ac:dyDescent="0.25">
      <c r="B52" s="106" t="s">
        <v>15</v>
      </c>
      <c r="C52" s="107"/>
      <c r="D52" s="108" t="s">
        <v>1</v>
      </c>
      <c r="E52" s="109"/>
      <c r="F52" s="110"/>
      <c r="G52" s="17"/>
    </row>
    <row r="53" spans="1:7" ht="27.75" thickBot="1" x14ac:dyDescent="0.25">
      <c r="A53" s="22"/>
      <c r="B53" s="23" t="s">
        <v>2</v>
      </c>
      <c r="C53" s="24" t="s">
        <v>110</v>
      </c>
      <c r="D53" s="25" t="s">
        <v>3</v>
      </c>
      <c r="E53" s="26" t="s">
        <v>4</v>
      </c>
      <c r="F53" s="27" t="s">
        <v>111</v>
      </c>
      <c r="G53" s="28" t="s">
        <v>5</v>
      </c>
    </row>
    <row r="54" spans="1:7" x14ac:dyDescent="0.2">
      <c r="A54" s="59">
        <v>0</v>
      </c>
      <c r="B54" s="69" t="s">
        <v>16</v>
      </c>
      <c r="C54" s="70"/>
      <c r="D54" s="8"/>
      <c r="E54" s="8"/>
      <c r="F54" s="8"/>
      <c r="G54" s="9"/>
    </row>
    <row r="55" spans="1:7" x14ac:dyDescent="0.2">
      <c r="A55" s="30">
        <v>11</v>
      </c>
      <c r="B55" s="71" t="s">
        <v>17</v>
      </c>
      <c r="C55" s="19">
        <v>204600</v>
      </c>
      <c r="D55" s="9"/>
      <c r="E55" s="9"/>
      <c r="F55" s="9"/>
      <c r="G55" s="9">
        <f t="shared" ref="G55:G91" si="2">+C55+D55-E55+F55</f>
        <v>204600</v>
      </c>
    </row>
    <row r="56" spans="1:7" ht="22.5" x14ac:dyDescent="0.2">
      <c r="A56" s="30">
        <v>15</v>
      </c>
      <c r="B56" s="71" t="s">
        <v>18</v>
      </c>
      <c r="C56" s="19">
        <v>6000</v>
      </c>
      <c r="D56" s="9"/>
      <c r="E56" s="9"/>
      <c r="F56" s="9"/>
      <c r="G56" s="9">
        <f t="shared" si="2"/>
        <v>6000</v>
      </c>
    </row>
    <row r="57" spans="1:7" x14ac:dyDescent="0.2">
      <c r="A57" s="30">
        <v>22</v>
      </c>
      <c r="B57" s="71" t="s">
        <v>19</v>
      </c>
      <c r="C57" s="19">
        <v>131160</v>
      </c>
      <c r="D57" s="9"/>
      <c r="E57" s="9"/>
      <c r="F57" s="9"/>
      <c r="G57" s="9">
        <f t="shared" si="2"/>
        <v>131160</v>
      </c>
    </row>
    <row r="58" spans="1:7" ht="22.5" x14ac:dyDescent="0.2">
      <c r="A58" s="30">
        <v>27</v>
      </c>
      <c r="B58" s="71" t="s">
        <v>20</v>
      </c>
      <c r="C58" s="19">
        <v>6000</v>
      </c>
      <c r="D58" s="9"/>
      <c r="E58" s="9"/>
      <c r="F58" s="9"/>
      <c r="G58" s="9">
        <f t="shared" si="2"/>
        <v>6000</v>
      </c>
    </row>
    <row r="59" spans="1:7" x14ac:dyDescent="0.2">
      <c r="A59" s="30">
        <v>51</v>
      </c>
      <c r="B59" s="71" t="s">
        <v>21</v>
      </c>
      <c r="C59" s="19">
        <v>36497.11</v>
      </c>
      <c r="D59" s="9"/>
      <c r="E59" s="9"/>
      <c r="F59" s="9"/>
      <c r="G59" s="9">
        <f t="shared" si="2"/>
        <v>36497.11</v>
      </c>
    </row>
    <row r="60" spans="1:7" x14ac:dyDescent="0.2">
      <c r="A60" s="30">
        <v>61</v>
      </c>
      <c r="B60" s="71" t="s">
        <v>22</v>
      </c>
      <c r="C60" s="19">
        <v>328300</v>
      </c>
      <c r="D60" s="9"/>
      <c r="E60" s="9"/>
      <c r="F60" s="9"/>
      <c r="G60" s="9">
        <f t="shared" si="2"/>
        <v>328300</v>
      </c>
    </row>
    <row r="61" spans="1:7" ht="22.5" x14ac:dyDescent="0.2">
      <c r="A61" s="30">
        <v>63</v>
      </c>
      <c r="B61" s="71" t="s">
        <v>23</v>
      </c>
      <c r="C61" s="19">
        <v>120000</v>
      </c>
      <c r="D61" s="9"/>
      <c r="E61" s="9"/>
      <c r="F61" s="9"/>
      <c r="G61" s="9">
        <f t="shared" si="2"/>
        <v>120000</v>
      </c>
    </row>
    <row r="62" spans="1:7" x14ac:dyDescent="0.2">
      <c r="A62" s="30" t="s">
        <v>83</v>
      </c>
      <c r="B62" s="71" t="s">
        <v>24</v>
      </c>
      <c r="C62" s="19">
        <v>33545.160000000003</v>
      </c>
      <c r="D62" s="9"/>
      <c r="E62" s="9"/>
      <c r="F62" s="20"/>
      <c r="G62" s="9">
        <f t="shared" si="2"/>
        <v>33545.160000000003</v>
      </c>
    </row>
    <row r="63" spans="1:7" ht="22.5" x14ac:dyDescent="0.2">
      <c r="A63" s="30">
        <v>72</v>
      </c>
      <c r="B63" s="71" t="s">
        <v>25</v>
      </c>
      <c r="C63" s="19">
        <v>33545.160000000003</v>
      </c>
      <c r="D63" s="9"/>
      <c r="E63" s="9"/>
      <c r="F63" s="9"/>
      <c r="G63" s="9">
        <f t="shared" si="2"/>
        <v>33545.160000000003</v>
      </c>
    </row>
    <row r="64" spans="1:7" x14ac:dyDescent="0.2">
      <c r="A64" s="60" t="s">
        <v>84</v>
      </c>
      <c r="B64" s="71" t="s">
        <v>26</v>
      </c>
      <c r="C64" s="19">
        <v>50000</v>
      </c>
      <c r="D64" s="9"/>
      <c r="E64" s="9"/>
      <c r="F64" s="9"/>
      <c r="G64" s="9">
        <f t="shared" si="2"/>
        <v>50000</v>
      </c>
    </row>
    <row r="65" spans="1:7" x14ac:dyDescent="0.2">
      <c r="A65" s="30" t="s">
        <v>85</v>
      </c>
      <c r="B65" s="71" t="s">
        <v>27</v>
      </c>
      <c r="C65" s="9">
        <v>0</v>
      </c>
      <c r="D65" s="9"/>
      <c r="E65" s="9"/>
      <c r="F65" s="9"/>
      <c r="G65" s="9">
        <f t="shared" si="2"/>
        <v>0</v>
      </c>
    </row>
    <row r="66" spans="1:7" s="3" customFormat="1" x14ac:dyDescent="0.2">
      <c r="A66" s="30">
        <v>111</v>
      </c>
      <c r="B66" s="71" t="s">
        <v>28</v>
      </c>
      <c r="C66" s="9">
        <v>3800</v>
      </c>
      <c r="D66" s="9"/>
      <c r="E66" s="9"/>
      <c r="F66" s="9"/>
      <c r="G66" s="9">
        <f t="shared" si="2"/>
        <v>3800</v>
      </c>
    </row>
    <row r="67" spans="1:7" s="3" customFormat="1" x14ac:dyDescent="0.2">
      <c r="A67" s="30">
        <v>112</v>
      </c>
      <c r="B67" s="71" t="s">
        <v>29</v>
      </c>
      <c r="C67" s="9">
        <v>5000</v>
      </c>
      <c r="D67" s="9"/>
      <c r="E67" s="9"/>
      <c r="F67" s="9"/>
      <c r="G67" s="9">
        <f t="shared" si="2"/>
        <v>5000</v>
      </c>
    </row>
    <row r="68" spans="1:7" s="3" customFormat="1" x14ac:dyDescent="0.2">
      <c r="A68" s="30">
        <v>113</v>
      </c>
      <c r="B68" s="71" t="s">
        <v>30</v>
      </c>
      <c r="C68" s="9">
        <v>15000</v>
      </c>
      <c r="D68" s="9"/>
      <c r="E68" s="9"/>
      <c r="F68" s="9"/>
      <c r="G68" s="9">
        <f t="shared" si="2"/>
        <v>15000</v>
      </c>
    </row>
    <row r="69" spans="1:7" s="3" customFormat="1" x14ac:dyDescent="0.2">
      <c r="A69" s="30">
        <v>114</v>
      </c>
      <c r="B69" s="71" t="s">
        <v>31</v>
      </c>
      <c r="C69" s="9">
        <v>1000</v>
      </c>
      <c r="D69" s="9"/>
      <c r="E69" s="9"/>
      <c r="F69" s="9"/>
      <c r="G69" s="9">
        <f t="shared" si="2"/>
        <v>1000</v>
      </c>
    </row>
    <row r="70" spans="1:7" s="3" customFormat="1" ht="22.5" x14ac:dyDescent="0.2">
      <c r="A70" s="30">
        <v>115</v>
      </c>
      <c r="B70" s="71" t="s">
        <v>32</v>
      </c>
      <c r="C70" s="9">
        <v>600</v>
      </c>
      <c r="D70" s="9"/>
      <c r="E70" s="9"/>
      <c r="F70" s="9"/>
      <c r="G70" s="9">
        <f t="shared" si="2"/>
        <v>600</v>
      </c>
    </row>
    <row r="71" spans="1:7" s="3" customFormat="1" x14ac:dyDescent="0.2">
      <c r="A71" s="30">
        <v>121</v>
      </c>
      <c r="B71" s="71" t="s">
        <v>33</v>
      </c>
      <c r="C71" s="9">
        <v>6000</v>
      </c>
      <c r="D71" s="9"/>
      <c r="E71" s="9"/>
      <c r="F71" s="9"/>
      <c r="G71" s="9">
        <f t="shared" si="2"/>
        <v>6000</v>
      </c>
    </row>
    <row r="72" spans="1:7" s="3" customFormat="1" x14ac:dyDescent="0.2">
      <c r="A72" s="30">
        <v>122</v>
      </c>
      <c r="B72" s="71" t="s">
        <v>126</v>
      </c>
      <c r="C72" s="9">
        <v>7500</v>
      </c>
      <c r="D72" s="9"/>
      <c r="E72" s="9"/>
      <c r="F72" s="9"/>
      <c r="G72" s="9">
        <f t="shared" si="2"/>
        <v>7500</v>
      </c>
    </row>
    <row r="73" spans="1:7" s="3" customFormat="1" x14ac:dyDescent="0.2">
      <c r="A73" s="30">
        <v>131</v>
      </c>
      <c r="B73" s="71" t="s">
        <v>34</v>
      </c>
      <c r="C73" s="9">
        <v>606288.66999999993</v>
      </c>
      <c r="D73" s="9"/>
      <c r="E73" s="9"/>
      <c r="F73" s="9"/>
      <c r="G73" s="9">
        <f t="shared" si="2"/>
        <v>606288.66999999993</v>
      </c>
    </row>
    <row r="74" spans="1:7" s="3" customFormat="1" x14ac:dyDescent="0.2">
      <c r="A74" s="30" t="s">
        <v>86</v>
      </c>
      <c r="B74" s="71" t="s">
        <v>35</v>
      </c>
      <c r="C74" s="9">
        <v>150000</v>
      </c>
      <c r="D74" s="9"/>
      <c r="E74" s="9"/>
      <c r="F74" s="9"/>
      <c r="G74" s="9">
        <f t="shared" si="2"/>
        <v>150000</v>
      </c>
    </row>
    <row r="75" spans="1:7" s="3" customFormat="1" x14ac:dyDescent="0.2">
      <c r="A75" s="30" t="s">
        <v>87</v>
      </c>
      <c r="B75" s="71" t="s">
        <v>36</v>
      </c>
      <c r="C75" s="9">
        <v>95000</v>
      </c>
      <c r="D75" s="9"/>
      <c r="E75" s="9"/>
      <c r="F75" s="9"/>
      <c r="G75" s="9">
        <f t="shared" si="2"/>
        <v>95000</v>
      </c>
    </row>
    <row r="76" spans="1:7" s="3" customFormat="1" ht="22.5" x14ac:dyDescent="0.2">
      <c r="A76" s="30">
        <v>151</v>
      </c>
      <c r="B76" s="71" t="s">
        <v>37</v>
      </c>
      <c r="C76" s="9">
        <v>108900</v>
      </c>
      <c r="D76" s="9"/>
      <c r="E76" s="9"/>
      <c r="F76" s="9"/>
      <c r="G76" s="9">
        <f t="shared" si="2"/>
        <v>108900</v>
      </c>
    </row>
    <row r="77" spans="1:7" s="3" customFormat="1" ht="22.5" x14ac:dyDescent="0.2">
      <c r="A77" s="30">
        <v>152</v>
      </c>
      <c r="B77" s="71" t="s">
        <v>38</v>
      </c>
      <c r="C77" s="9">
        <v>2500</v>
      </c>
      <c r="D77" s="9"/>
      <c r="E77" s="9"/>
      <c r="F77" s="9"/>
      <c r="G77" s="9">
        <f t="shared" si="2"/>
        <v>2500</v>
      </c>
    </row>
    <row r="78" spans="1:7" s="3" customFormat="1" ht="22.5" x14ac:dyDescent="0.2">
      <c r="A78" s="30">
        <v>153</v>
      </c>
      <c r="B78" s="71" t="s">
        <v>39</v>
      </c>
      <c r="C78" s="9">
        <v>8500</v>
      </c>
      <c r="D78" s="9"/>
      <c r="E78" s="9"/>
      <c r="F78" s="9"/>
      <c r="G78" s="9">
        <f t="shared" si="2"/>
        <v>8500</v>
      </c>
    </row>
    <row r="79" spans="1:7" s="3" customFormat="1" ht="22.5" x14ac:dyDescent="0.2">
      <c r="A79" s="30">
        <v>155</v>
      </c>
      <c r="B79" s="71" t="s">
        <v>40</v>
      </c>
      <c r="C79" s="9">
        <v>95000</v>
      </c>
      <c r="D79" s="9"/>
      <c r="E79" s="9"/>
      <c r="F79" s="9"/>
      <c r="G79" s="9">
        <f t="shared" si="2"/>
        <v>95000</v>
      </c>
    </row>
    <row r="80" spans="1:7" s="3" customFormat="1" ht="22.5" x14ac:dyDescent="0.2">
      <c r="A80" s="30">
        <v>161</v>
      </c>
      <c r="B80" s="71" t="s">
        <v>88</v>
      </c>
      <c r="C80" s="9">
        <v>5000</v>
      </c>
      <c r="D80" s="9"/>
      <c r="E80" s="9"/>
      <c r="F80" s="9"/>
      <c r="G80" s="9">
        <f t="shared" si="2"/>
        <v>5000</v>
      </c>
    </row>
    <row r="81" spans="1:7" s="3" customFormat="1" ht="22.5" x14ac:dyDescent="0.2">
      <c r="A81" s="30">
        <v>164</v>
      </c>
      <c r="B81" s="71" t="s">
        <v>41</v>
      </c>
      <c r="C81" s="9">
        <v>50000</v>
      </c>
      <c r="D81" s="9"/>
      <c r="E81" s="9"/>
      <c r="F81" s="9"/>
      <c r="G81" s="9">
        <f t="shared" si="2"/>
        <v>50000</v>
      </c>
    </row>
    <row r="82" spans="1:7" s="3" customFormat="1" ht="22.5" x14ac:dyDescent="0.2">
      <c r="A82" s="30" t="s">
        <v>89</v>
      </c>
      <c r="B82" s="71" t="s">
        <v>42</v>
      </c>
      <c r="C82" s="9">
        <v>10000</v>
      </c>
      <c r="D82" s="9"/>
      <c r="E82" s="9"/>
      <c r="F82" s="9"/>
      <c r="G82" s="9">
        <f t="shared" si="2"/>
        <v>10000</v>
      </c>
    </row>
    <row r="83" spans="1:7" s="3" customFormat="1" ht="22.5" x14ac:dyDescent="0.2">
      <c r="A83" s="30">
        <v>169</v>
      </c>
      <c r="B83" s="71" t="s">
        <v>90</v>
      </c>
      <c r="C83" s="9">
        <v>5500</v>
      </c>
      <c r="D83" s="9"/>
      <c r="E83" s="9"/>
      <c r="F83" s="9"/>
      <c r="G83" s="9">
        <f t="shared" si="2"/>
        <v>5500</v>
      </c>
    </row>
    <row r="84" spans="1:7" s="3" customFormat="1" ht="22.5" x14ac:dyDescent="0.2">
      <c r="A84" s="30">
        <v>182</v>
      </c>
      <c r="B84" s="71" t="s">
        <v>91</v>
      </c>
      <c r="C84" s="9">
        <v>15000</v>
      </c>
      <c r="D84" s="9"/>
      <c r="E84" s="9"/>
      <c r="F84" s="9"/>
      <c r="G84" s="9">
        <f t="shared" si="2"/>
        <v>15000</v>
      </c>
    </row>
    <row r="85" spans="1:7" s="3" customFormat="1" x14ac:dyDescent="0.2">
      <c r="A85" s="30">
        <v>183</v>
      </c>
      <c r="B85" s="71" t="s">
        <v>43</v>
      </c>
      <c r="C85" s="9">
        <v>25000</v>
      </c>
      <c r="D85" s="9"/>
      <c r="E85" s="9"/>
      <c r="F85" s="9"/>
      <c r="G85" s="9">
        <f t="shared" si="2"/>
        <v>25000</v>
      </c>
    </row>
    <row r="86" spans="1:7" s="3" customFormat="1" x14ac:dyDescent="0.2">
      <c r="A86" s="30">
        <v>185</v>
      </c>
      <c r="B86" s="71" t="s">
        <v>44</v>
      </c>
      <c r="C86" s="9">
        <v>6500</v>
      </c>
      <c r="D86" s="9"/>
      <c r="E86" s="9"/>
      <c r="F86" s="9"/>
      <c r="G86" s="9">
        <f t="shared" si="2"/>
        <v>6500</v>
      </c>
    </row>
    <row r="87" spans="1:7" s="3" customFormat="1" ht="22.5" x14ac:dyDescent="0.2">
      <c r="A87" s="30">
        <v>186</v>
      </c>
      <c r="B87" s="71" t="s">
        <v>45</v>
      </c>
      <c r="C87" s="9">
        <v>15000</v>
      </c>
      <c r="D87" s="9"/>
      <c r="E87" s="9"/>
      <c r="F87" s="9"/>
      <c r="G87" s="9">
        <f t="shared" si="2"/>
        <v>15000</v>
      </c>
    </row>
    <row r="88" spans="1:7" s="3" customFormat="1" ht="22.5" x14ac:dyDescent="0.2">
      <c r="A88" s="30">
        <v>189</v>
      </c>
      <c r="B88" s="71" t="s">
        <v>46</v>
      </c>
      <c r="C88" s="9">
        <v>932956.29</v>
      </c>
      <c r="D88" s="9"/>
      <c r="E88" s="9"/>
      <c r="F88" s="9"/>
      <c r="G88" s="9">
        <f t="shared" si="2"/>
        <v>932956.29</v>
      </c>
    </row>
    <row r="89" spans="1:7" s="3" customFormat="1" ht="22.5" x14ac:dyDescent="0.2">
      <c r="A89" s="30">
        <v>191</v>
      </c>
      <c r="B89" s="71" t="s">
        <v>92</v>
      </c>
      <c r="C89" s="9">
        <v>200</v>
      </c>
      <c r="D89" s="9"/>
      <c r="E89" s="9"/>
      <c r="F89" s="9"/>
      <c r="G89" s="9">
        <v>200</v>
      </c>
    </row>
    <row r="90" spans="1:7" s="3" customFormat="1" ht="22.5" x14ac:dyDescent="0.2">
      <c r="A90" s="30" t="s">
        <v>93</v>
      </c>
      <c r="B90" s="71" t="s">
        <v>94</v>
      </c>
      <c r="C90" s="9">
        <v>500</v>
      </c>
      <c r="D90" s="9"/>
      <c r="E90" s="9"/>
      <c r="F90" s="9"/>
      <c r="G90" s="9">
        <f t="shared" si="2"/>
        <v>500</v>
      </c>
    </row>
    <row r="91" spans="1:7" s="3" customFormat="1" ht="22.5" x14ac:dyDescent="0.2">
      <c r="A91" s="30">
        <f>195</f>
        <v>195</v>
      </c>
      <c r="B91" s="71" t="s">
        <v>95</v>
      </c>
      <c r="C91" s="9">
        <v>1500</v>
      </c>
      <c r="D91" s="9"/>
      <c r="E91" s="9"/>
      <c r="F91" s="9"/>
      <c r="G91" s="9">
        <f t="shared" si="2"/>
        <v>1500</v>
      </c>
    </row>
    <row r="92" spans="1:7" s="3" customFormat="1" ht="22.5" x14ac:dyDescent="0.2">
      <c r="A92" s="30">
        <v>196</v>
      </c>
      <c r="B92" s="71" t="s">
        <v>47</v>
      </c>
      <c r="C92" s="9">
        <v>95000</v>
      </c>
      <c r="D92" s="10"/>
      <c r="E92" s="10"/>
      <c r="F92" s="10"/>
      <c r="G92" s="10">
        <f>+C92+D92-E92+F92</f>
        <v>95000</v>
      </c>
    </row>
    <row r="93" spans="1:7" s="3" customFormat="1" x14ac:dyDescent="0.2">
      <c r="A93" s="30">
        <v>197</v>
      </c>
      <c r="B93" s="71" t="s">
        <v>48</v>
      </c>
      <c r="C93" s="9">
        <v>55000</v>
      </c>
      <c r="D93" s="10"/>
      <c r="E93" s="10"/>
      <c r="F93" s="10"/>
      <c r="G93" s="10">
        <f>+C93+D93-E93+F93</f>
        <v>55000</v>
      </c>
    </row>
    <row r="94" spans="1:7" s="3" customFormat="1" ht="22.5" x14ac:dyDescent="0.2">
      <c r="A94" s="30">
        <v>199</v>
      </c>
      <c r="B94" s="74" t="s">
        <v>49</v>
      </c>
      <c r="C94" s="9">
        <v>95000</v>
      </c>
      <c r="D94" s="9"/>
      <c r="E94" s="9"/>
      <c r="F94" s="9"/>
      <c r="G94" s="10">
        <f>+C94+D94-E94+F94</f>
        <v>95000</v>
      </c>
    </row>
    <row r="95" spans="1:7" s="3" customFormat="1" x14ac:dyDescent="0.2">
      <c r="A95" s="30" t="s">
        <v>96</v>
      </c>
      <c r="B95" s="71" t="s">
        <v>50</v>
      </c>
      <c r="C95" s="9"/>
      <c r="D95" s="9"/>
      <c r="E95" s="9"/>
      <c r="F95" s="9"/>
      <c r="G95" s="10"/>
    </row>
    <row r="96" spans="1:7" s="3" customFormat="1" x14ac:dyDescent="0.2">
      <c r="A96" s="30">
        <v>211</v>
      </c>
      <c r="B96" s="71" t="s">
        <v>51</v>
      </c>
      <c r="C96" s="9">
        <v>250000</v>
      </c>
      <c r="D96" s="9"/>
      <c r="E96" s="10"/>
      <c r="F96" s="9"/>
      <c r="G96" s="10">
        <f t="shared" ref="G96:G110" si="3">+C96+D96-E96+F96</f>
        <v>250000</v>
      </c>
    </row>
    <row r="97" spans="1:7" s="3" customFormat="1" ht="22.5" x14ac:dyDescent="0.2">
      <c r="A97" s="30" t="s">
        <v>97</v>
      </c>
      <c r="B97" s="71" t="s">
        <v>52</v>
      </c>
      <c r="C97" s="9">
        <v>100000</v>
      </c>
      <c r="D97" s="9"/>
      <c r="E97" s="10"/>
      <c r="F97" s="9"/>
      <c r="G97" s="10">
        <f t="shared" si="3"/>
        <v>100000</v>
      </c>
    </row>
    <row r="98" spans="1:7" s="3" customFormat="1" x14ac:dyDescent="0.2">
      <c r="A98" s="30" t="s">
        <v>98</v>
      </c>
      <c r="B98" s="71" t="s">
        <v>53</v>
      </c>
      <c r="C98" s="9">
        <v>3500</v>
      </c>
      <c r="D98" s="9"/>
      <c r="E98" s="10"/>
      <c r="F98" s="9"/>
      <c r="G98" s="10">
        <f t="shared" si="3"/>
        <v>3500</v>
      </c>
    </row>
    <row r="99" spans="1:7" s="3" customFormat="1" ht="22.5" x14ac:dyDescent="0.2">
      <c r="A99" s="30" t="s">
        <v>99</v>
      </c>
      <c r="B99" s="71" t="s">
        <v>54</v>
      </c>
      <c r="C99" s="9">
        <v>5000</v>
      </c>
      <c r="D99" s="9"/>
      <c r="E99" s="10"/>
      <c r="F99" s="9"/>
      <c r="G99" s="10">
        <f t="shared" si="3"/>
        <v>5000</v>
      </c>
    </row>
    <row r="100" spans="1:7" s="3" customFormat="1" x14ac:dyDescent="0.2">
      <c r="A100" s="30">
        <v>245</v>
      </c>
      <c r="B100" s="71" t="s">
        <v>129</v>
      </c>
      <c r="C100" s="9">
        <v>15000</v>
      </c>
      <c r="D100" s="9"/>
      <c r="E100" s="10"/>
      <c r="F100" s="9"/>
      <c r="G100" s="10">
        <f t="shared" si="3"/>
        <v>15000</v>
      </c>
    </row>
    <row r="101" spans="1:7" s="3" customFormat="1" x14ac:dyDescent="0.2">
      <c r="A101" s="30">
        <v>247</v>
      </c>
      <c r="B101" s="71" t="s">
        <v>55</v>
      </c>
      <c r="C101" s="9">
        <v>2500</v>
      </c>
      <c r="D101" s="9"/>
      <c r="E101" s="10"/>
      <c r="F101" s="9"/>
      <c r="G101" s="10">
        <f t="shared" si="3"/>
        <v>2500</v>
      </c>
    </row>
    <row r="102" spans="1:7" s="3" customFormat="1" x14ac:dyDescent="0.2">
      <c r="A102" s="30">
        <v>262</v>
      </c>
      <c r="B102" s="71" t="s">
        <v>56</v>
      </c>
      <c r="C102" s="9">
        <v>100000</v>
      </c>
      <c r="D102" s="9"/>
      <c r="E102" s="10"/>
      <c r="F102" s="9"/>
      <c r="G102" s="10">
        <f t="shared" si="3"/>
        <v>100000</v>
      </c>
    </row>
    <row r="103" spans="1:7" s="3" customFormat="1" ht="22.5" x14ac:dyDescent="0.2">
      <c r="A103" s="30">
        <v>266</v>
      </c>
      <c r="B103" s="71" t="s">
        <v>57</v>
      </c>
      <c r="C103" s="9">
        <v>24000</v>
      </c>
      <c r="D103" s="11"/>
      <c r="E103" s="10"/>
      <c r="F103" s="11"/>
      <c r="G103" s="10">
        <f t="shared" si="3"/>
        <v>24000</v>
      </c>
    </row>
    <row r="104" spans="1:7" s="3" customFormat="1" ht="22.5" x14ac:dyDescent="0.2">
      <c r="A104" s="30" t="s">
        <v>100</v>
      </c>
      <c r="B104" s="71" t="s">
        <v>58</v>
      </c>
      <c r="C104" s="9">
        <v>5000</v>
      </c>
      <c r="D104" s="9"/>
      <c r="E104" s="10"/>
      <c r="F104" s="9"/>
      <c r="G104" s="10">
        <f t="shared" si="3"/>
        <v>5000</v>
      </c>
    </row>
    <row r="105" spans="1:7" s="3" customFormat="1" ht="22.5" x14ac:dyDescent="0.2">
      <c r="A105" s="30">
        <v>268</v>
      </c>
      <c r="B105" s="71" t="s">
        <v>59</v>
      </c>
      <c r="C105" s="9">
        <v>35000</v>
      </c>
      <c r="D105" s="9"/>
      <c r="E105" s="10"/>
      <c r="F105" s="9"/>
      <c r="G105" s="10">
        <f t="shared" si="3"/>
        <v>35000</v>
      </c>
    </row>
    <row r="106" spans="1:7" s="3" customFormat="1" x14ac:dyDescent="0.2">
      <c r="A106" s="30">
        <v>283</v>
      </c>
      <c r="B106" s="71" t="s">
        <v>60</v>
      </c>
      <c r="C106" s="9">
        <v>5000</v>
      </c>
      <c r="D106" s="9"/>
      <c r="E106" s="10"/>
      <c r="F106" s="9"/>
      <c r="G106" s="10">
        <f t="shared" si="3"/>
        <v>5000</v>
      </c>
    </row>
    <row r="107" spans="1:7" s="3" customFormat="1" x14ac:dyDescent="0.2">
      <c r="A107" s="30" t="s">
        <v>101</v>
      </c>
      <c r="B107" s="71" t="s">
        <v>61</v>
      </c>
      <c r="C107" s="9">
        <v>5000</v>
      </c>
      <c r="D107" s="11"/>
      <c r="E107" s="10"/>
      <c r="F107" s="11"/>
      <c r="G107" s="10">
        <f t="shared" si="3"/>
        <v>5000</v>
      </c>
    </row>
    <row r="108" spans="1:7" s="3" customFormat="1" ht="22.5" x14ac:dyDescent="0.2">
      <c r="A108" s="30" t="s">
        <v>102</v>
      </c>
      <c r="B108" s="71" t="s">
        <v>62</v>
      </c>
      <c r="C108" s="9">
        <v>3000</v>
      </c>
      <c r="D108" s="9"/>
      <c r="E108" s="10"/>
      <c r="F108" s="9"/>
      <c r="G108" s="10">
        <f t="shared" si="3"/>
        <v>3000</v>
      </c>
    </row>
    <row r="109" spans="1:7" s="3" customFormat="1" ht="22.5" x14ac:dyDescent="0.2">
      <c r="A109" s="30">
        <v>294</v>
      </c>
      <c r="B109" s="71" t="s">
        <v>63</v>
      </c>
      <c r="C109" s="9">
        <v>250000</v>
      </c>
      <c r="D109" s="9"/>
      <c r="E109" s="10"/>
      <c r="F109" s="9"/>
      <c r="G109" s="10">
        <f t="shared" si="3"/>
        <v>250000</v>
      </c>
    </row>
    <row r="110" spans="1:7" s="3" customFormat="1" ht="22.5" x14ac:dyDescent="0.2">
      <c r="A110" s="30" t="s">
        <v>103</v>
      </c>
      <c r="B110" s="71" t="s">
        <v>64</v>
      </c>
      <c r="C110" s="9">
        <v>15000</v>
      </c>
      <c r="D110" s="9"/>
      <c r="E110" s="10"/>
      <c r="F110" s="9"/>
      <c r="G110" s="10">
        <f t="shared" si="3"/>
        <v>15000</v>
      </c>
    </row>
    <row r="111" spans="1:7" s="3" customFormat="1" x14ac:dyDescent="0.2">
      <c r="A111" s="61" t="s">
        <v>104</v>
      </c>
      <c r="B111" s="75" t="s">
        <v>65</v>
      </c>
      <c r="C111" s="9"/>
      <c r="D111" s="11"/>
      <c r="E111" s="10"/>
      <c r="F111" s="9"/>
      <c r="G111" s="10"/>
    </row>
    <row r="112" spans="1:7" s="3" customFormat="1" x14ac:dyDescent="0.2">
      <c r="A112" s="30">
        <v>322</v>
      </c>
      <c r="B112" s="71" t="s">
        <v>66</v>
      </c>
      <c r="C112" s="9">
        <v>35000</v>
      </c>
      <c r="D112" s="11"/>
      <c r="E112" s="10"/>
      <c r="F112" s="9"/>
      <c r="G112" s="10">
        <f>C112+D112-E112+F112</f>
        <v>35000</v>
      </c>
    </row>
    <row r="113" spans="1:7" s="3" customFormat="1" ht="22.5" x14ac:dyDescent="0.2">
      <c r="A113" s="30">
        <v>324</v>
      </c>
      <c r="B113" s="31" t="s">
        <v>82</v>
      </c>
      <c r="C113" s="9">
        <v>20000</v>
      </c>
      <c r="D113" s="11"/>
      <c r="E113" s="10"/>
      <c r="F113" s="11"/>
      <c r="G113" s="10">
        <f>C113+D113-E113+F113</f>
        <v>20000</v>
      </c>
    </row>
    <row r="114" spans="1:7" s="3" customFormat="1" x14ac:dyDescent="0.2">
      <c r="A114" s="30">
        <v>328</v>
      </c>
      <c r="B114" s="31" t="s">
        <v>67</v>
      </c>
      <c r="C114" s="9">
        <v>25000</v>
      </c>
      <c r="D114" s="11"/>
      <c r="E114" s="10"/>
      <c r="F114" s="11"/>
      <c r="G114" s="29">
        <f>C114+D114-E114+F114</f>
        <v>25000</v>
      </c>
    </row>
    <row r="115" spans="1:7" s="3" customFormat="1" x14ac:dyDescent="0.2">
      <c r="A115" s="61" t="s">
        <v>105</v>
      </c>
      <c r="B115" s="76" t="s">
        <v>68</v>
      </c>
      <c r="C115" s="9"/>
      <c r="D115" s="29"/>
      <c r="E115" s="10"/>
      <c r="F115" s="29"/>
      <c r="G115" s="29"/>
    </row>
    <row r="116" spans="1:7" s="3" customFormat="1" ht="22.5" x14ac:dyDescent="0.2">
      <c r="A116" s="30" t="s">
        <v>106</v>
      </c>
      <c r="B116" s="77" t="s">
        <v>69</v>
      </c>
      <c r="C116" s="14">
        <v>80510.5</v>
      </c>
      <c r="D116" s="9"/>
      <c r="E116" s="9"/>
      <c r="F116" s="9"/>
      <c r="G116" s="9">
        <f>+C116+D116-E116+F116</f>
        <v>80510.5</v>
      </c>
    </row>
    <row r="117" spans="1:7" s="3" customFormat="1" ht="22.5" x14ac:dyDescent="0.2">
      <c r="A117" s="30">
        <v>415</v>
      </c>
      <c r="B117" s="77" t="s">
        <v>70</v>
      </c>
      <c r="C117" s="14">
        <v>0</v>
      </c>
      <c r="D117" s="9"/>
      <c r="E117" s="9"/>
      <c r="F117" s="9"/>
      <c r="G117" s="9">
        <f>+C117+D117-E117+F117</f>
        <v>0</v>
      </c>
    </row>
    <row r="118" spans="1:7" s="3" customFormat="1" ht="22.5" x14ac:dyDescent="0.2">
      <c r="A118" s="30">
        <v>419</v>
      </c>
      <c r="B118" s="71" t="s">
        <v>71</v>
      </c>
      <c r="C118" s="12">
        <v>378294.52</v>
      </c>
      <c r="D118" s="9"/>
      <c r="E118" s="9"/>
      <c r="F118" s="9"/>
      <c r="G118" s="9">
        <f>+C118+D118-E118+F118</f>
        <v>378294.52</v>
      </c>
    </row>
    <row r="119" spans="1:7" s="3" customFormat="1" ht="33.75" x14ac:dyDescent="0.2">
      <c r="A119" s="30">
        <v>472</v>
      </c>
      <c r="B119" s="71" t="s">
        <v>72</v>
      </c>
      <c r="C119" s="12">
        <v>85000</v>
      </c>
      <c r="D119" s="9"/>
      <c r="E119" s="9"/>
      <c r="F119" s="9"/>
      <c r="G119" s="9">
        <f>+C119+D119-E119+F119</f>
        <v>85000</v>
      </c>
    </row>
    <row r="120" spans="1:7" s="3" customFormat="1" ht="33.75" x14ac:dyDescent="0.2">
      <c r="A120" s="30"/>
      <c r="B120" s="71" t="s">
        <v>107</v>
      </c>
      <c r="C120" s="12"/>
      <c r="D120" s="9"/>
      <c r="E120" s="9"/>
      <c r="F120" s="9"/>
      <c r="G120" s="9"/>
    </row>
    <row r="121" spans="1:7" ht="22.5" x14ac:dyDescent="0.2">
      <c r="A121" s="30"/>
      <c r="B121" s="71" t="s">
        <v>114</v>
      </c>
      <c r="C121" s="12">
        <v>0</v>
      </c>
      <c r="D121" s="9"/>
      <c r="E121" s="9"/>
      <c r="F121" s="9"/>
      <c r="G121" s="9">
        <f>+C121+D121-E121+F121</f>
        <v>0</v>
      </c>
    </row>
    <row r="122" spans="1:7" ht="22.5" x14ac:dyDescent="0.2">
      <c r="A122" s="30"/>
      <c r="B122" s="71" t="s">
        <v>115</v>
      </c>
      <c r="C122" s="12">
        <v>0</v>
      </c>
      <c r="D122" s="9"/>
      <c r="E122" s="9"/>
      <c r="F122" s="9"/>
      <c r="G122" s="9">
        <f>+C122+D122-E122+F122</f>
        <v>0</v>
      </c>
    </row>
    <row r="123" spans="1:7" x14ac:dyDescent="0.2">
      <c r="A123" s="30"/>
      <c r="B123" s="71" t="s">
        <v>116</v>
      </c>
      <c r="C123" s="12">
        <v>0</v>
      </c>
      <c r="D123" s="9"/>
      <c r="E123" s="9"/>
      <c r="F123" s="9"/>
      <c r="G123" s="9">
        <f>+C123+D123-E123+F123</f>
        <v>0</v>
      </c>
    </row>
    <row r="124" spans="1:7" ht="22.5" x14ac:dyDescent="0.2">
      <c r="A124" s="30"/>
      <c r="B124" s="71" t="s">
        <v>117</v>
      </c>
      <c r="C124" s="12">
        <v>0</v>
      </c>
      <c r="D124" s="9"/>
      <c r="E124" s="9"/>
      <c r="F124" s="9"/>
      <c r="G124" s="9">
        <f>+C124+D124-E124+F124</f>
        <v>0</v>
      </c>
    </row>
    <row r="125" spans="1:7" x14ac:dyDescent="0.2">
      <c r="A125" s="30"/>
      <c r="B125" s="71" t="s">
        <v>118</v>
      </c>
      <c r="C125" s="12">
        <v>0</v>
      </c>
      <c r="D125" s="9"/>
      <c r="E125" s="9"/>
      <c r="F125" s="9"/>
      <c r="G125" s="9">
        <f>+C125+D125-E125+F125</f>
        <v>0</v>
      </c>
    </row>
    <row r="126" spans="1:7" x14ac:dyDescent="0.2">
      <c r="A126" s="30"/>
      <c r="B126" s="31" t="s">
        <v>131</v>
      </c>
      <c r="C126" s="12">
        <v>0</v>
      </c>
      <c r="D126" s="11"/>
      <c r="E126" s="11"/>
      <c r="F126" s="11"/>
      <c r="G126" s="11"/>
    </row>
    <row r="127" spans="1:7" x14ac:dyDescent="0.2">
      <c r="A127" s="30"/>
      <c r="B127" s="31" t="s">
        <v>119</v>
      </c>
      <c r="C127" s="12">
        <v>0</v>
      </c>
      <c r="D127" s="11"/>
      <c r="E127" s="11"/>
      <c r="F127" s="11"/>
      <c r="G127" s="11"/>
    </row>
    <row r="128" spans="1:7" ht="33.75" x14ac:dyDescent="0.2">
      <c r="A128" s="30"/>
      <c r="B128" s="31" t="s">
        <v>120</v>
      </c>
      <c r="C128" s="12">
        <v>0</v>
      </c>
      <c r="D128" s="11"/>
      <c r="E128" s="11"/>
      <c r="F128" s="11"/>
      <c r="G128" s="11"/>
    </row>
    <row r="129" spans="1:7" ht="22.5" x14ac:dyDescent="0.2">
      <c r="A129" s="30"/>
      <c r="B129" s="31" t="s">
        <v>121</v>
      </c>
      <c r="C129" s="12">
        <v>0</v>
      </c>
      <c r="D129" s="11"/>
      <c r="E129" s="11"/>
      <c r="F129" s="11"/>
      <c r="G129" s="11"/>
    </row>
    <row r="130" spans="1:7" x14ac:dyDescent="0.2">
      <c r="A130" s="30"/>
      <c r="B130" s="31" t="s">
        <v>122</v>
      </c>
      <c r="C130" s="12">
        <v>0</v>
      </c>
      <c r="D130" s="11"/>
      <c r="E130" s="11"/>
      <c r="F130" s="11"/>
      <c r="G130" s="11"/>
    </row>
    <row r="131" spans="1:7" x14ac:dyDescent="0.2">
      <c r="A131" s="30"/>
      <c r="B131" s="31" t="s">
        <v>123</v>
      </c>
      <c r="C131" s="12">
        <v>0</v>
      </c>
      <c r="D131" s="11"/>
      <c r="E131" s="11"/>
      <c r="F131" s="11"/>
      <c r="G131" s="11">
        <f>+C131+D131-E131+F131</f>
        <v>0</v>
      </c>
    </row>
    <row r="132" spans="1:7" x14ac:dyDescent="0.2">
      <c r="A132" s="30"/>
      <c r="B132" s="31" t="s">
        <v>130</v>
      </c>
      <c r="C132" s="13">
        <v>0</v>
      </c>
      <c r="D132" s="11"/>
      <c r="E132" s="11"/>
      <c r="F132" s="11"/>
      <c r="G132" s="11">
        <f>+C132+D132-E132+F132</f>
        <v>0</v>
      </c>
    </row>
    <row r="133" spans="1:7" ht="33.75" x14ac:dyDescent="0.2">
      <c r="A133" s="30"/>
      <c r="B133" s="31" t="s">
        <v>125</v>
      </c>
      <c r="C133" s="13"/>
      <c r="D133" s="11"/>
      <c r="E133" s="11"/>
      <c r="F133" s="11"/>
      <c r="G133" s="11"/>
    </row>
    <row r="134" spans="1:7" ht="33.75" x14ac:dyDescent="0.2">
      <c r="A134" s="30"/>
      <c r="B134" s="31" t="s">
        <v>124</v>
      </c>
      <c r="C134" s="13"/>
      <c r="D134" s="11"/>
      <c r="E134" s="11"/>
      <c r="F134" s="11"/>
      <c r="G134" s="11"/>
    </row>
    <row r="135" spans="1:7" ht="12.75" thickBot="1" x14ac:dyDescent="0.25">
      <c r="A135" s="30"/>
      <c r="B135" s="31" t="s">
        <v>151</v>
      </c>
      <c r="C135" s="9">
        <v>163556.72</v>
      </c>
      <c r="D135" s="9"/>
      <c r="E135" s="9"/>
      <c r="F135" s="9"/>
      <c r="G135" s="9">
        <f>+C135</f>
        <v>163556.72</v>
      </c>
    </row>
    <row r="136" spans="1:7" ht="12.75" thickBot="1" x14ac:dyDescent="0.25">
      <c r="A136" s="62"/>
      <c r="B136" s="78" t="s">
        <v>73</v>
      </c>
      <c r="C136" s="95">
        <f>SUM(C54:C135)</f>
        <v>4972254.13</v>
      </c>
      <c r="D136" s="96">
        <f>SUM(D54:D135)</f>
        <v>0</v>
      </c>
      <c r="E136" s="96">
        <f>SUM(E54:E135)</f>
        <v>0</v>
      </c>
      <c r="F136" s="96">
        <f>SUM(F54:F135)</f>
        <v>0</v>
      </c>
      <c r="G136" s="96">
        <f>SUM(G54:G135)</f>
        <v>4972254.13</v>
      </c>
    </row>
    <row r="137" spans="1:7" ht="34.5" thickBot="1" x14ac:dyDescent="0.25">
      <c r="A137" s="40"/>
      <c r="B137" s="42" t="s">
        <v>134</v>
      </c>
      <c r="C137" s="41"/>
      <c r="D137" s="63"/>
      <c r="E137" s="63"/>
      <c r="F137" s="41"/>
      <c r="G137" s="41"/>
    </row>
  </sheetData>
  <mergeCells count="30">
    <mergeCell ref="B51:F51"/>
    <mergeCell ref="B52:C52"/>
    <mergeCell ref="D52:F52"/>
    <mergeCell ref="B40:G40"/>
    <mergeCell ref="B42:G42"/>
    <mergeCell ref="B44:G44"/>
    <mergeCell ref="B45:G45"/>
    <mergeCell ref="B47:G47"/>
    <mergeCell ref="B48:G48"/>
    <mergeCell ref="B35:G35"/>
    <mergeCell ref="B36:G36"/>
    <mergeCell ref="B37:G37"/>
    <mergeCell ref="B38:G38"/>
    <mergeCell ref="B49:G49"/>
    <mergeCell ref="B7:G7"/>
    <mergeCell ref="B41:G41"/>
    <mergeCell ref="B6:G6"/>
    <mergeCell ref="B1:G1"/>
    <mergeCell ref="B2:G2"/>
    <mergeCell ref="B3:G3"/>
    <mergeCell ref="B4:G4"/>
    <mergeCell ref="B5:G5"/>
    <mergeCell ref="B39:G39"/>
    <mergeCell ref="B8:G8"/>
    <mergeCell ref="B10:G10"/>
    <mergeCell ref="B11:G11"/>
    <mergeCell ref="B12:G12"/>
    <mergeCell ref="B13:G13"/>
    <mergeCell ref="B14:G14"/>
    <mergeCell ref="B15:G15"/>
  </mergeCells>
  <pageMargins left="1.4960629921259843" right="0.70866141732283472" top="1.3779527559055118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INGRESOS Y EGRESOS</vt:lpstr>
      <vt:lpstr>TRANSFERENCIA Y MODIFICACIONES</vt:lpstr>
      <vt:lpstr>'INGRESOS Y EGRESOS'!Área_de_impresión</vt:lpstr>
      <vt:lpstr>'TRANSFERENCIA Y MODIFICACIONES'!Área_de_impresión</vt:lpstr>
      <vt:lpstr>'INGRESOS Y EGRESOS'!Títulos_a_imprimir</vt:lpstr>
      <vt:lpstr>'TRANSFERENCIA Y MODIFICACIONES'!Títulos_a_imprimir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FINANCIERO</cp:lastModifiedBy>
  <cp:lastPrinted>2024-02-08T16:18:21Z</cp:lastPrinted>
  <dcterms:created xsi:type="dcterms:W3CDTF">2018-09-06T17:50:41Z</dcterms:created>
  <dcterms:modified xsi:type="dcterms:W3CDTF">2024-02-08T16:30:03Z</dcterms:modified>
</cp:coreProperties>
</file>