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PRESUPUESTARIA'!$A$1:$M$102</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<sst xmlns="http://schemas.openxmlformats.org/spreadsheetml/2006/main" count="606" uniqueCount="390">
  <si>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</si>
  <si>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</si>
  <si>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</si>
  <si>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</si>
  <si>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</si>
  <si>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</si>
  <si>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</si>
  <si>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</si>
  <si>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</si>
  <si>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</si>
  <si>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</si>
  <si>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</si>
  <si>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</si>
  <si>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</si>
  <si>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</si>
  <si>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</si>
  <si>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</si>
  <si>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</si>
  <si>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</si>
  <si>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</si>
  <si>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</si>
  <si>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</si>
  <si>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</si>
  <si>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</si>
  <si>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</si>
  <si>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</si>
  <si>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</si>
  <si>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</si>
  <si>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</si>
  <si>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</si>
  <si>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</si>
  <si>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</si>
  <si>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</si>
  <si>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</si>
  <si>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</si>
  <si>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</si>
  <si>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</si>
  <si>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</si>
  <si>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</si>
  <si>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</si>
  <si>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</si>
  <si>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</si>
  <si>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</si>
  <si>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</si>
  <si>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</si>
  <si>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</si>
  <si>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</si>
  <si>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</si>
  <si>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</si>
  <si>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</si>
  <si>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</si>
  <si>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</si>
  <si>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</si>
  <si>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</si>
  <si>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</si>
  <si>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</si>
  <si>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</si>
  <si>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</si>
  <si>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</si>
  <si>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</si>
  <si>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</si>
  <si>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</si>
  <si>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</si>
  <si>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</si>
  <si>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</si>
  <si>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</si>
  <si>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</si>
  <si>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</si>
  <si>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</si>
  <si>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</si>
  <si>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</si>
  <si>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</si>
  <si>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</si>
  <si>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</si>
  <si>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</si>
  <si>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</si>
  <si>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</si>
  <si>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</si>
  <si>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</si>
  <si>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</si>
  <si>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</si>
  <si>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</si>
  <si>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</si>
  <si>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</si>
  <si>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</si>
  <si>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</si>
  <si>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</si>
  <si>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</si>
  <si>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</si>
  <si>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</si>
  <si>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</si>
  <si>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</si>
  <si>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</si>
  <si>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</si>
  <si>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</si>
  <si>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</si>
  <si>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</si>
  <si>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</si>
  <si>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</si>
  <si>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</si>
  <si>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</si>
  <si>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</si>
  <si>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</si>
  <si>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</si>
  <si>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</si>
  <si>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</si>
  <si>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</si>
  <si>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</si>
  <si>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</si>
  <si>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</si>
  <si>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</si>
  <si>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</si>
  <si>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</si>
  <si>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</si>
  <si>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</si>
  <si>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</si>
  <si>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</si>
  <si>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</si>
  <si>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</si>
  <si>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</si>
  <si>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</si>
  <si>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</si>
  <si>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</si>
  <si>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</si>
  <si>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</si>
  <si>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</si>
  <si>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</si>
  <si>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</si>
  <si>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</si>
  <si>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</si>
  <si>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</si>
  <si>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</si>
  <si>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</si>
  <si>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</si>
  <si>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</si>
  <si>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</si>
  <si>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</si>
  <si>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</si>
  <si>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</si>
  <si>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</si>
  <si>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</si>
  <si>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</si>
  <si>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</si>
  <si>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</si>
  <si>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</si>
  <si>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</si>
  <si>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</si>
  <si>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</si>
  <si>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</si>
  <si>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</si>
  <si>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</si>
  <si>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</si>
  <si>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</si>
  <si>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</si>
  <si>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</si>
  <si>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</si>
  <si>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</si>
  <si>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</si>
  <si>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</si>
  <si>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</si>
  <si>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</si>
  <si>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</si>
  <si>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</si>
  <si>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</si>
  <si>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</si>
  <si>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</si>
  <si>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</si>
  <si>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</si>
  <si>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</si>
  <si>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</si>
  <si>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</si>
  <si>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</si>
  <si>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</si>
  <si>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</si>
  <si>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</si>
  <si>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</si>
  <si>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</si>
  <si>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</si>
  <si>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</si>
  <si>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</si>
  <si>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</si>
  <si>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</si>
  <si>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</si>
  <si>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</si>
  <si>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</si>
  <si>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</si>
  <si>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</si>
  <si>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</si>
  <si>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</si>
  <si>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</si>
  <si>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</si>
  <si>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</si>
  <si>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</si>
  <si>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</si>
  <si>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</si>
  <si>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</si>
  <si>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</si>
  <si>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</si>
  <si>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</si>
  <si>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</si>
  <si>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</si>
  <si>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</si>
  <si>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</si>
  <si>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</si>
  <si>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</si>
  <si>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</si>
  <si>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</si>
  <si>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</si>
  <si>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</si>
  <si>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</si>
  <si>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</si>
  <si>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</si>
  <si>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</si>
  <si>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</si>
  <si>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</si>
  <si>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</si>
  <si>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</si>
  <si>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</si>
  <si>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</si>
  <si>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</si>
  <si>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</si>
  <si>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</si>
  <si>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</si>
  <si>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</si>
  <si>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</si>
  <si>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</si>
  <si>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</si>
  <si>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</si>
  <si>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</si>
  <si>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</si>
  <si>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</si>
  <si>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</si>
  <si>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</si>
  <si>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</si>
  <si>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</si>
  <si>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</si>
  <si>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</si>
  <si>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</si>
  <si>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</si>
  <si>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</si>
  <si>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</si>
  <si>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</si>
  <si>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</si>
  <si>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</si>
  <si>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</si>
  <si>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</si>
  <si>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</si>
  <si>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</si>
  <si>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</si>
  <si>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</si>
  <si>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</si>
  <si>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</si>
  <si>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</si>
  <si>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</si>
  <si>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</si>
  <si>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</si>
  <si>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</si>
  <si>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</si>
  <si>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</si>
  <si>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</si>
  <si>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</si>
  <si>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</si>
  <si>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</si>
  <si>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</si>
  <si>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</si>
  <si>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</si>
  <si>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</si>
  <si>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</si>
  <si>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</si>
  <si>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</si>
  <si>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</si>
  <si>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</si>
  <si>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</si>
  <si>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</si>
  <si>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</si>
  <si>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</si>
  <si>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</si>
  <si>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</si>
  <si>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</si>
  <si>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</si>
  <si>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</si>
  <si>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</si>
  <si>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</si>
  <si>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</si>
  <si>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</si>
  <si>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</si>
  <si>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</si>
  <si>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</si>
  <si>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</si>
  <si>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</si>
  <si>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</si>
  <si>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</si>
  <si>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</si>
  <si>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</si>
  <si>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</si>
  <si>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</si>
  <si>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</si>
  <si>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</si>
  <si>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</si>
  <si>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</si>
  <si>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</si>
  <si>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</si>
  <si>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</si>
  <si>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</si>
  <si>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</si>
  <si>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</si>
  <si>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</si>
  <si>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</si>
  <si>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</si>
  <si>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</si>
  <si>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</si>
  <si>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</si>
  <si>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</si>
  <si>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</si>
  <si>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</si>
  <si>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</si>
  <si>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</si>
  <si>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</si>
  <si>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</si>
  <si>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</si>
  <si>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</si>
  <si>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</si>
  <si>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</si>
  <si>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</si>
  <si>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</si>
  <si>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</si>
  <si>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</si>
  <si>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</si>
  <si>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</si>
  <si>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</si>
  <si>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</si>
  <si>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</si>
  <si>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</si>
  <si>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</si>
  <si>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</si>
  <si>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</si>
  <si>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</si>
  <si>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</si>
  <si>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</si>
  <si>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</si>
  <si>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</si>
  <si>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</si>
  <si>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</si>
  <si>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</si>
  <si>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</si>
  <si>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</si>
  <si>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</si>
  <si>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</si>
  <si>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</si>
  <si>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</si>
  <si>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</si>
  <si>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</si>
  <si>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</si>
  <si>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</si>
  <si>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</si>
  <si>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</si>
  <si>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</si>
  <si>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</si>
  <si>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</si>
  <si>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</si>
  <si>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</si>
  <si>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</si>
  <si>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</si>
  <si>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</si>
  <si>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</si>
  <si>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</si>
  <si>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</si>
  <si>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</si>
  <si>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</si>
  <si>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</si>
  <si>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</si>
  <si>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</si>
  <si>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</si>
  <si>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</si>
  <si>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</si>
  <si>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</si>
  <si>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</si>
  <si>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</si>
  <si>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</si>
  <si>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</si>
  <si>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</si>
  <si>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</si>
  <si>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</si>
  <si>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</si>
  <si>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</si>
  <si>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</si>
  <si>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Ejecucion Presupuestaria de Egresos 2023</t>
  </si>
  <si>
    <t xml:space="preserve">Devoluciones a Confederacion Deportiva Autonoma de Guatemala </t>
  </si>
  <si>
    <t>NO AFECTA PRESUPUESTO (INDEMNIZACIONES AL PERSONAL  YA REBAJADO DEL RENGLON 413)</t>
  </si>
  <si>
    <t>FECHA DE ACTUALIZACIÓN:  NOVIEMBRE 2023</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</si>
</sst>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7">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
      <sz val="9"/>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style="thin"/>
      <top style="medium"/>
      <bottom/>
    </border>
    <border>
      <left style="thin"/>
      <right/>
      <top style="medium"/>
      <bottom/>
    </border>
    <border>
      <left style="medium">
        <color indexed="8"/>
      </left>
      <right style="medium">
        <color indexed="8"/>
      </right>
      <top style="medium"/>
      <bottom/>
    </border>
    <border>
      <left style="thin"/>
      <right style="thin"/>
      <top style="medium"/>
      <bottom style="thin"/>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21"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71"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4" fillId="20"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297">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80" fillId="34" borderId="0" xfId="0" applyNumberFormat="1" applyFont="1" applyFill="1" applyAlignment="1">
      <alignment horizontal="center"/>
    </xf>
    <xf numFmtId="4" fontId="80" fillId="34" borderId="0" xfId="0" applyNumberFormat="1" applyFont="1" applyFill="1" applyAlignment="1">
      <alignment/>
    </xf>
    <xf numFmtId="0" fontId="80" fillId="34" borderId="0" xfId="0" applyNumberFormat="1" applyFont="1" applyFill="1" applyAlignment="1">
      <alignment horizontal="center"/>
    </xf>
    <xf numFmtId="191" fontId="80" fillId="34" borderId="0" xfId="52" applyNumberFormat="1" applyFont="1" applyFill="1" applyBorder="1" applyAlignment="1">
      <alignment/>
    </xf>
    <xf numFmtId="0" fontId="80" fillId="34" borderId="0" xfId="0" applyFont="1" applyFill="1" applyAlignment="1">
      <alignment/>
    </xf>
    <xf numFmtId="191" fontId="80" fillId="34" borderId="0" xfId="0" applyNumberFormat="1" applyFont="1" applyFill="1" applyAlignment="1">
      <alignment/>
    </xf>
    <xf numFmtId="0" fontId="80" fillId="34" borderId="0" xfId="0" applyFont="1" applyFill="1" applyAlignment="1">
      <alignment horizontal="left"/>
    </xf>
    <xf numFmtId="16" fontId="80" fillId="34" borderId="0" xfId="0" applyNumberFormat="1" applyFont="1" applyFill="1" applyAlignment="1">
      <alignment horizontal="right"/>
    </xf>
    <xf numFmtId="0" fontId="81" fillId="34" borderId="0" xfId="0" applyFont="1" applyFill="1" applyBorder="1" applyAlignment="1">
      <alignment/>
    </xf>
    <xf numFmtId="4" fontId="80" fillId="34" borderId="0" xfId="0" applyNumberFormat="1" applyFont="1" applyFill="1" applyAlignment="1">
      <alignment horizontal="center"/>
    </xf>
    <xf numFmtId="0" fontId="81" fillId="34" borderId="0" xfId="0" applyFont="1" applyFill="1" applyBorder="1" applyAlignment="1">
      <alignment horizontal="left"/>
    </xf>
    <xf numFmtId="0" fontId="81" fillId="34" borderId="0" xfId="0" applyFont="1" applyFill="1" applyBorder="1" applyAlignment="1">
      <alignment horizontal="right"/>
    </xf>
    <xf numFmtId="0" fontId="80" fillId="34" borderId="0" xfId="0" applyFont="1" applyFill="1" applyBorder="1" applyAlignment="1">
      <alignment/>
    </xf>
    <xf numFmtId="0" fontId="80" fillId="34" borderId="0" xfId="52" applyNumberFormat="1" applyFont="1" applyFill="1" applyBorder="1" applyAlignment="1">
      <alignment horizontal="right"/>
    </xf>
    <xf numFmtId="0" fontId="80" fillId="34" borderId="0" xfId="0" applyFont="1" applyFill="1" applyBorder="1" applyAlignment="1">
      <alignment horizontal="center"/>
    </xf>
    <xf numFmtId="191" fontId="80" fillId="34" borderId="0" xfId="0" applyNumberFormat="1" applyFont="1" applyFill="1" applyBorder="1" applyAlignment="1">
      <alignment/>
    </xf>
    <xf numFmtId="4" fontId="80" fillId="34" borderId="0" xfId="0" applyNumberFormat="1" applyFont="1" applyFill="1" applyBorder="1" applyAlignment="1">
      <alignment/>
    </xf>
    <xf numFmtId="0" fontId="80" fillId="34" borderId="0" xfId="0" applyNumberFormat="1" applyFont="1" applyFill="1" applyBorder="1" applyAlignment="1">
      <alignment horizontal="center"/>
    </xf>
    <xf numFmtId="0" fontId="80" fillId="34" borderId="0" xfId="0" applyFont="1" applyFill="1" applyAlignment="1">
      <alignment/>
    </xf>
    <xf numFmtId="170" fontId="80" fillId="34" borderId="0" xfId="0" applyNumberFormat="1" applyFont="1" applyFill="1" applyAlignment="1">
      <alignment horizontal="center"/>
    </xf>
    <xf numFmtId="170" fontId="80" fillId="34" borderId="0" xfId="0" applyNumberFormat="1" applyFont="1" applyFill="1" applyAlignment="1">
      <alignment horizontal="right"/>
    </xf>
    <xf numFmtId="0" fontId="82" fillId="34" borderId="0" xfId="0" applyFont="1" applyFill="1" applyAlignment="1">
      <alignment horizontal="left"/>
    </xf>
    <xf numFmtId="0" fontId="82" fillId="34" borderId="0" xfId="0" applyFont="1" applyFill="1" applyAlignment="1">
      <alignment/>
    </xf>
    <xf numFmtId="0" fontId="80" fillId="34" borderId="0" xfId="0" applyNumberFormat="1" applyFont="1" applyFill="1" applyAlignment="1">
      <alignment horizontal="right"/>
    </xf>
    <xf numFmtId="0" fontId="82" fillId="34" borderId="0" xfId="0" applyFont="1" applyFill="1" applyAlignment="1">
      <alignment/>
    </xf>
    <xf numFmtId="49" fontId="82" fillId="34" borderId="0" xfId="0" applyNumberFormat="1" applyFont="1" applyFill="1" applyAlignment="1">
      <alignment horizontal="center"/>
    </xf>
    <xf numFmtId="0" fontId="80" fillId="34" borderId="0" xfId="0" applyNumberFormat="1" applyFont="1" applyFill="1" applyAlignment="1">
      <alignment/>
    </xf>
    <xf numFmtId="0" fontId="80" fillId="34" borderId="0" xfId="0" applyFont="1" applyFill="1" applyAlignment="1">
      <alignment horizontal="right"/>
    </xf>
    <xf numFmtId="0" fontId="83" fillId="34" borderId="0" xfId="0" applyNumberFormat="1" applyFont="1" applyFill="1" applyBorder="1" applyAlignment="1">
      <alignment horizontal="center"/>
    </xf>
    <xf numFmtId="0" fontId="82" fillId="34" borderId="0" xfId="0" applyFont="1" applyFill="1" applyBorder="1" applyAlignment="1">
      <alignment horizontal="left"/>
    </xf>
    <xf numFmtId="0" fontId="80" fillId="34" borderId="0" xfId="0" applyFont="1" applyFill="1" applyBorder="1" applyAlignment="1">
      <alignment horizontal="left"/>
    </xf>
    <xf numFmtId="0" fontId="80" fillId="34" borderId="0" xfId="52" applyNumberFormat="1" applyFont="1" applyFill="1" applyBorder="1" applyAlignment="1">
      <alignment horizontal="center"/>
    </xf>
    <xf numFmtId="0" fontId="82" fillId="34" borderId="0" xfId="0" applyFont="1" applyFill="1" applyBorder="1" applyAlignment="1">
      <alignment horizontal="center"/>
    </xf>
    <xf numFmtId="191" fontId="80" fillId="34" borderId="0" xfId="52" applyNumberFormat="1" applyFont="1" applyFill="1" applyBorder="1" applyAlignment="1">
      <alignment horizontal="right"/>
    </xf>
    <xf numFmtId="0" fontId="84" fillId="34" borderId="0" xfId="0" applyFont="1" applyFill="1" applyBorder="1" applyAlignment="1">
      <alignment/>
    </xf>
    <xf numFmtId="0" fontId="84" fillId="34" borderId="0" xfId="0" applyFont="1" applyFill="1" applyAlignment="1">
      <alignment/>
    </xf>
    <xf numFmtId="0" fontId="81" fillId="34" borderId="0" xfId="0" applyFont="1" applyFill="1" applyAlignment="1">
      <alignment horizontal="left"/>
    </xf>
    <xf numFmtId="170" fontId="80" fillId="34" borderId="0" xfId="0" applyNumberFormat="1" applyFont="1" applyFill="1" applyAlignment="1">
      <alignment/>
    </xf>
    <xf numFmtId="0" fontId="80" fillId="34" borderId="0" xfId="52" applyNumberFormat="1" applyFont="1" applyFill="1" applyAlignment="1">
      <alignment horizontal="center"/>
    </xf>
    <xf numFmtId="191" fontId="80" fillId="34" borderId="0" xfId="52" applyNumberFormat="1" applyFont="1" applyFill="1" applyAlignment="1">
      <alignment/>
    </xf>
    <xf numFmtId="191" fontId="80" fillId="34" borderId="0" xfId="52" applyNumberFormat="1" applyFont="1" applyFill="1" applyBorder="1" applyAlignment="1">
      <alignment horizontal="left"/>
    </xf>
    <xf numFmtId="168" fontId="80" fillId="34" borderId="0" xfId="0" applyNumberFormat="1" applyFont="1" applyFill="1" applyBorder="1" applyAlignment="1">
      <alignment horizontal="left"/>
    </xf>
    <xf numFmtId="0" fontId="80" fillId="34" borderId="0" xfId="50" applyNumberFormat="1" applyFont="1" applyFill="1" applyBorder="1" applyAlignment="1">
      <alignment horizontal="center"/>
    </xf>
    <xf numFmtId="49" fontId="80" fillId="34" borderId="0" xfId="0" applyNumberFormat="1" applyFont="1" applyFill="1" applyBorder="1" applyAlignment="1">
      <alignment horizontal="left"/>
    </xf>
    <xf numFmtId="0" fontId="80" fillId="34" borderId="0" xfId="0" applyFont="1" applyFill="1" applyBorder="1" applyAlignment="1">
      <alignment horizontal="right"/>
    </xf>
    <xf numFmtId="0" fontId="81" fillId="34" borderId="0" xfId="0" applyFont="1" applyFill="1" applyBorder="1" applyAlignment="1">
      <alignment horizontal="center"/>
    </xf>
    <xf numFmtId="191" fontId="82" fillId="34" borderId="0" xfId="52" applyNumberFormat="1" applyFont="1" applyFill="1" applyBorder="1" applyAlignment="1">
      <alignment/>
    </xf>
    <xf numFmtId="0" fontId="81" fillId="34" borderId="0" xfId="0" applyFont="1" applyFill="1" applyAlignment="1">
      <alignment horizontal="right"/>
    </xf>
    <xf numFmtId="0" fontId="82"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80" fillId="34" borderId="0" xfId="0" applyNumberFormat="1" applyFont="1" applyFill="1" applyBorder="1" applyAlignment="1">
      <alignment horizontal="center"/>
    </xf>
    <xf numFmtId="0" fontId="34" fillId="34" borderId="0" xfId="0" applyFont="1" applyFill="1" applyBorder="1" applyAlignment="1">
      <alignment/>
    </xf>
    <xf numFmtId="0" fontId="85" fillId="34" borderId="0" xfId="0" applyNumberFormat="1" applyFont="1" applyFill="1" applyBorder="1" applyAlignment="1">
      <alignment horizontal="justify" wrapText="1"/>
    </xf>
    <xf numFmtId="43" fontId="80"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80" fillId="34" borderId="0" xfId="0" applyNumberFormat="1" applyFont="1" applyFill="1" applyAlignment="1">
      <alignment/>
    </xf>
    <xf numFmtId="191" fontId="80" fillId="34" borderId="0" xfId="0" applyNumberFormat="1" applyFont="1" applyFill="1" applyBorder="1" applyAlignment="1">
      <alignment/>
    </xf>
    <xf numFmtId="191" fontId="80" fillId="34" borderId="0" xfId="52" applyNumberFormat="1" applyFont="1" applyFill="1" applyBorder="1" applyAlignment="1">
      <alignment/>
    </xf>
    <xf numFmtId="2" fontId="80" fillId="34" borderId="0" xfId="0" applyNumberFormat="1" applyFont="1" applyFill="1" applyAlignment="1">
      <alignment/>
    </xf>
    <xf numFmtId="191" fontId="82" fillId="34" borderId="0" xfId="0" applyNumberFormat="1" applyFont="1" applyFill="1" applyBorder="1" applyAlignment="1">
      <alignment/>
    </xf>
    <xf numFmtId="44" fontId="80"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80" fillId="34" borderId="17" xfId="52" applyNumberFormat="1" applyFont="1" applyFill="1" applyBorder="1" applyAlignment="1">
      <alignment/>
    </xf>
    <xf numFmtId="4" fontId="29" fillId="34" borderId="0" xfId="0" applyNumberFormat="1" applyFont="1" applyFill="1" applyBorder="1" applyAlignment="1">
      <alignment horizontal="center"/>
    </xf>
    <xf numFmtId="0" fontId="82" fillId="34" borderId="0" xfId="0" applyFont="1" applyFill="1" applyAlignment="1">
      <alignment horizontal="center"/>
    </xf>
    <xf numFmtId="0" fontId="80" fillId="34" borderId="0" xfId="0" applyFont="1" applyFill="1" applyAlignment="1">
      <alignment horizontal="center"/>
    </xf>
    <xf numFmtId="0" fontId="85" fillId="34" borderId="0" xfId="0" applyNumberFormat="1" applyFont="1" applyFill="1" applyBorder="1" applyAlignment="1">
      <alignment horizontal="left" wrapText="1"/>
    </xf>
    <xf numFmtId="44" fontId="80"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2" fillId="34" borderId="13" xfId="0" applyFont="1" applyFill="1" applyBorder="1" applyAlignment="1">
      <alignment horizontal="center"/>
    </xf>
    <xf numFmtId="49" fontId="2" fillId="34" borderId="20" xfId="0" applyNumberFormat="1" applyFont="1" applyFill="1" applyBorder="1" applyAlignment="1">
      <alignment horizontal="center"/>
    </xf>
    <xf numFmtId="0" fontId="30" fillId="34" borderId="20" xfId="0" applyFont="1" applyFill="1" applyBorder="1" applyAlignment="1">
      <alignment horizontal="center"/>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0" fontId="86" fillId="0" borderId="19" xfId="0" applyFont="1" applyBorder="1" applyAlignment="1">
      <alignment/>
    </xf>
    <xf numFmtId="0" fontId="29" fillId="34" borderId="19" xfId="0" applyFont="1" applyFill="1" applyBorder="1" applyAlignment="1">
      <alignment/>
    </xf>
    <xf numFmtId="40" fontId="2" fillId="36" borderId="19" xfId="0" applyNumberFormat="1" applyFont="1" applyFill="1" applyBorder="1" applyAlignment="1">
      <alignment/>
    </xf>
    <xf numFmtId="4" fontId="38" fillId="34" borderId="21" xfId="0" applyNumberFormat="1" applyFont="1" applyFill="1" applyBorder="1" applyAlignment="1">
      <alignment horizontal="center" vertical="center" wrapText="1"/>
    </xf>
    <xf numFmtId="0" fontId="2" fillId="34" borderId="22" xfId="0" applyFont="1" applyFill="1" applyBorder="1" applyAlignment="1">
      <alignment horizontal="left" wrapText="1"/>
    </xf>
    <xf numFmtId="0" fontId="2" fillId="34" borderId="22" xfId="0" applyFont="1" applyFill="1" applyBorder="1" applyAlignment="1">
      <alignment wrapText="1"/>
    </xf>
    <xf numFmtId="0" fontId="30" fillId="34" borderId="22" xfId="0" applyFont="1" applyFill="1" applyBorder="1" applyAlignment="1">
      <alignment horizontal="left" wrapText="1"/>
    </xf>
    <xf numFmtId="0" fontId="2" fillId="34" borderId="23" xfId="0" applyFont="1" applyFill="1" applyBorder="1" applyAlignment="1">
      <alignment horizontal="left" wrapText="1"/>
    </xf>
    <xf numFmtId="4" fontId="2" fillId="34" borderId="24" xfId="0" applyNumberFormat="1" applyFont="1" applyFill="1" applyBorder="1" applyAlignment="1">
      <alignment/>
    </xf>
    <xf numFmtId="4" fontId="38" fillId="34" borderId="25" xfId="0" applyNumberFormat="1" applyFont="1" applyFill="1" applyBorder="1" applyAlignment="1">
      <alignment horizontal="center" vertical="center"/>
    </xf>
    <xf numFmtId="4" fontId="38" fillId="34" borderId="26" xfId="0" applyNumberFormat="1" applyFont="1" applyFill="1" applyBorder="1" applyAlignment="1">
      <alignment horizontal="center" vertical="center"/>
    </xf>
    <xf numFmtId="4" fontId="38" fillId="34" borderId="27" xfId="0" applyNumberFormat="1" applyFont="1" applyFill="1" applyBorder="1" applyAlignment="1">
      <alignment horizontal="center" vertical="center"/>
    </xf>
    <xf numFmtId="4" fontId="38" fillId="34" borderId="28" xfId="0" applyNumberFormat="1" applyFont="1" applyFill="1" applyBorder="1" applyAlignment="1">
      <alignment horizontal="center" vertical="center" wrapText="1"/>
    </xf>
    <xf numFmtId="40" fontId="2" fillId="34" borderId="29" xfId="0" applyNumberFormat="1" applyFont="1" applyFill="1" applyBorder="1" applyAlignment="1">
      <alignment/>
    </xf>
    <xf numFmtId="0" fontId="82" fillId="34" borderId="0" xfId="0" applyFont="1" applyFill="1" applyAlignment="1">
      <alignment horizontal="center"/>
    </xf>
    <xf numFmtId="191" fontId="82"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31"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9" fontId="20" fillId="0" borderId="30" xfId="0" applyNumberFormat="1" applyFont="1" applyFill="1" applyBorder="1" applyAlignment="1">
      <alignment horizontal="center" vertical="center" wrapText="1"/>
    </xf>
    <xf numFmtId="9" fontId="20" fillId="0" borderId="31"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133350</xdr:rowOff>
    </xdr:to>
    <xdr:pic>
      <xdr:nvPicPr>
        <xdr:cNvPr id="1" name="Imagen 1"/>
        <xdr:cNvPicPr preferRelativeResize="1">
          <a:picLocks noChangeAspect="1"/>
        </xdr:cNvPicPr>
      </xdr:nvPicPr>
      <xdr:blipFill>
        <a:blip r:embed="rId1"/>
        <a:stretch>
          <a:fillRect/>
        </a:stretch>
      </xdr:blipFill>
      <xdr:spPr>
        <a:xfrm>
          <a:off x="358140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58140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581400" y="1174432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581400" y="1283017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70" t="s">
        <v>313</v>
      </c>
      <c r="C1" s="270"/>
      <c r="D1" s="270"/>
      <c r="E1" s="270"/>
      <c r="F1" s="270"/>
      <c r="G1" s="270"/>
      <c r="H1" s="270"/>
      <c r="I1" s="209"/>
      <c r="J1" s="144"/>
    </row>
    <row r="2" spans="2:10" ht="15.75" hidden="1">
      <c r="B2" s="208"/>
      <c r="C2" s="208"/>
      <c r="F2" s="209"/>
      <c r="G2" s="209"/>
      <c r="H2" s="209"/>
      <c r="I2" s="209"/>
      <c r="J2" s="144"/>
    </row>
    <row r="3" spans="2:11" ht="15.75" hidden="1">
      <c r="B3" s="270" t="s">
        <v>189</v>
      </c>
      <c r="C3" s="270"/>
      <c r="D3" s="270"/>
      <c r="E3" s="270"/>
      <c r="F3" s="270"/>
      <c r="G3" s="270"/>
      <c r="H3" s="270"/>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71" t="s">
        <v>273</v>
      </c>
      <c r="F10" s="271"/>
      <c r="G10" s="271"/>
      <c r="H10" s="271"/>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72" t="s">
        <v>313</v>
      </c>
      <c r="C1" s="272"/>
      <c r="D1" s="272"/>
      <c r="E1" s="272"/>
      <c r="F1" s="272"/>
      <c r="G1" s="272"/>
      <c r="H1" s="272"/>
      <c r="I1" s="192"/>
      <c r="J1" s="212"/>
    </row>
    <row r="2" spans="2:10" ht="15.75">
      <c r="B2" s="228"/>
      <c r="C2" s="228"/>
      <c r="F2" s="229"/>
      <c r="G2" s="229"/>
      <c r="H2" s="229"/>
      <c r="I2" s="192"/>
      <c r="J2" s="212"/>
    </row>
    <row r="3" spans="2:11" ht="15.75">
      <c r="B3" s="273" t="s">
        <v>323</v>
      </c>
      <c r="C3" s="273"/>
      <c r="D3" s="273"/>
      <c r="E3" s="273"/>
      <c r="F3" s="273"/>
      <c r="G3" s="273"/>
      <c r="H3" s="273"/>
      <c r="I3" s="192"/>
      <c r="J3" s="212"/>
      <c r="K3" s="212"/>
    </row>
    <row r="4" spans="2:11" ht="11.25" customHeight="1">
      <c r="B4" s="228"/>
      <c r="C4" s="228"/>
      <c r="F4" s="229"/>
      <c r="G4" s="229"/>
      <c r="H4" s="229"/>
      <c r="I4" s="192"/>
      <c r="J4" s="229"/>
      <c r="K4" s="229"/>
    </row>
    <row r="5" spans="1:10" ht="15.75">
      <c r="A5" s="272" t="s">
        <v>314</v>
      </c>
      <c r="B5" s="272"/>
      <c r="C5" s="272"/>
      <c r="D5" s="272"/>
      <c r="E5" s="272"/>
      <c r="F5" s="272"/>
      <c r="G5" s="272"/>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74" t="s">
        <v>275</v>
      </c>
      <c r="F10" s="274"/>
      <c r="G10" s="274"/>
      <c r="H10" s="274"/>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75"/>
      <c r="E170" s="275"/>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75"/>
      <c r="E180" s="275"/>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2"/>
  <sheetViews>
    <sheetView tabSelected="1" zoomScalePageLayoutView="0" workbookViewId="0" topLeftCell="A1">
      <selection activeCell="B18" sqref="B18"/>
    </sheetView>
  </sheetViews>
  <sheetFormatPr defaultColWidth="9.140625" defaultRowHeight="12.75"/>
  <cols>
    <col min="1" max="1" width="7.57421875" style="123" customWidth="1"/>
    <col min="2" max="2" width="46.140625" style="125" customWidth="1"/>
    <col min="3" max="3" width="15.421875" style="119" customWidth="1"/>
    <col min="4" max="4" width="13.28125" style="119" customWidth="1"/>
    <col min="5" max="5" width="12.7109375" style="119" customWidth="1"/>
    <col min="6" max="8" width="9.140625" style="119" customWidth="1"/>
    <col min="9" max="9" width="10.140625" style="119" bestFit="1" customWidth="1"/>
    <col min="10" max="10" width="11.00390625" style="119" customWidth="1"/>
    <col min="11" max="11" width="10.421875" style="119" customWidth="1"/>
    <col min="12" max="16384" width="9.140625" style="119" customWidth="1"/>
  </cols>
  <sheetData>
    <row r="1" spans="1:4" ht="15">
      <c r="A1" s="276" t="s">
        <v>362</v>
      </c>
      <c r="B1" s="276"/>
      <c r="C1" s="276"/>
      <c r="D1" s="276"/>
    </row>
    <row r="2" spans="1:4" ht="15">
      <c r="A2" s="276" t="s">
        <v>355</v>
      </c>
      <c r="B2" s="276"/>
      <c r="C2" s="276"/>
      <c r="D2" s="276"/>
    </row>
    <row r="3" spans="1:4" ht="15">
      <c r="A3" s="276" t="s">
        <v>356</v>
      </c>
      <c r="B3" s="276"/>
      <c r="C3" s="276"/>
      <c r="D3" s="276"/>
    </row>
    <row r="4" spans="1:4" ht="15">
      <c r="A4" s="276" t="s">
        <v>360</v>
      </c>
      <c r="B4" s="276"/>
      <c r="C4" s="276"/>
      <c r="D4" s="276"/>
    </row>
    <row r="5" spans="1:4" ht="15">
      <c r="A5" s="276" t="s">
        <v>385</v>
      </c>
      <c r="B5" s="276"/>
      <c r="C5" s="276"/>
      <c r="D5" s="276"/>
    </row>
    <row r="6" spans="1:4" ht="15">
      <c r="A6" s="276" t="s">
        <v>366</v>
      </c>
      <c r="B6" s="276"/>
      <c r="C6" s="276"/>
      <c r="D6" s="276"/>
    </row>
    <row r="7" spans="1:4" ht="15">
      <c r="A7" s="277" t="s">
        <v>384</v>
      </c>
      <c r="B7" s="277"/>
      <c r="C7" s="277"/>
      <c r="D7" s="277"/>
    </row>
    <row r="8" spans="1:4" ht="15">
      <c r="A8" s="276" t="s">
        <v>389</v>
      </c>
      <c r="B8" s="276"/>
      <c r="C8" s="276"/>
      <c r="D8" s="276"/>
    </row>
    <row r="9" spans="1:2" ht="15">
      <c r="A9" s="276"/>
      <c r="B9" s="276"/>
    </row>
    <row r="10" spans="1:4" ht="15">
      <c r="A10" s="276" t="s">
        <v>357</v>
      </c>
      <c r="B10" s="276"/>
      <c r="C10" s="276"/>
      <c r="D10" s="276"/>
    </row>
    <row r="11" spans="1:4" ht="15.75" customHeight="1">
      <c r="A11" s="276" t="s">
        <v>358</v>
      </c>
      <c r="B11" s="276"/>
      <c r="C11" s="276"/>
      <c r="D11" s="276"/>
    </row>
    <row r="12" spans="1:4" ht="15.75" customHeight="1">
      <c r="A12" s="276" t="s">
        <v>359</v>
      </c>
      <c r="B12" s="276"/>
      <c r="C12" s="276"/>
      <c r="D12" s="276"/>
    </row>
    <row r="13" spans="1:2" ht="15.75" customHeight="1">
      <c r="A13" s="246"/>
      <c r="B13" s="246"/>
    </row>
    <row r="14" spans="1:4" ht="15.75" customHeight="1">
      <c r="A14" s="276" t="s">
        <v>363</v>
      </c>
      <c r="B14" s="276"/>
      <c r="C14" s="276"/>
      <c r="D14" s="276"/>
    </row>
    <row r="15" spans="1:2" ht="15.75" customHeight="1">
      <c r="A15" s="276" t="s">
        <v>361</v>
      </c>
      <c r="B15" s="276"/>
    </row>
    <row r="16" spans="1:2" ht="15.75" thickBot="1">
      <c r="A16" s="244"/>
      <c r="B16" s="247" t="s">
        <v>386</v>
      </c>
    </row>
    <row r="17" spans="1:13" ht="15.75" thickBot="1">
      <c r="A17" s="249"/>
      <c r="B17" s="259" t="s">
        <v>2</v>
      </c>
      <c r="C17" s="265" t="s">
        <v>269</v>
      </c>
      <c r="D17" s="266" t="s">
        <v>270</v>
      </c>
      <c r="E17" s="266" t="s">
        <v>271</v>
      </c>
      <c r="F17" s="266" t="s">
        <v>272</v>
      </c>
      <c r="G17" s="266" t="s">
        <v>273</v>
      </c>
      <c r="H17" s="266" t="s">
        <v>274</v>
      </c>
      <c r="I17" s="266" t="s">
        <v>275</v>
      </c>
      <c r="J17" s="267" t="s">
        <v>212</v>
      </c>
      <c r="K17" s="268" t="s">
        <v>262</v>
      </c>
      <c r="L17" s="268" t="s">
        <v>276</v>
      </c>
      <c r="M17" s="268" t="s">
        <v>277</v>
      </c>
    </row>
    <row r="18" spans="1:13" ht="21.75" customHeight="1">
      <c r="A18" s="250">
        <v>0</v>
      </c>
      <c r="B18" s="260" t="s">
        <v>281</v>
      </c>
      <c r="C18" s="269"/>
      <c r="D18" s="269"/>
      <c r="E18" s="269"/>
      <c r="F18" s="269"/>
      <c r="G18" s="269"/>
      <c r="H18" s="269"/>
      <c r="I18" s="269"/>
      <c r="J18" s="269"/>
      <c r="K18" s="269"/>
      <c r="L18" s="269"/>
      <c r="M18" s="269"/>
    </row>
    <row r="19" spans="1:13" ht="15">
      <c r="A19" s="248">
        <v>11</v>
      </c>
      <c r="B19" s="260" t="s">
        <v>136</v>
      </c>
      <c r="C19" s="124">
        <f>3169.5+4555.5+5494.5+3830</f>
        <v>17049.5</v>
      </c>
      <c r="D19" s="124">
        <f>10050+7000</f>
        <v>17050</v>
      </c>
      <c r="E19" s="124">
        <f>8525+8525</f>
        <v>17050</v>
      </c>
      <c r="F19" s="124">
        <v>17050</v>
      </c>
      <c r="G19" s="124">
        <f>8525+8525</f>
        <v>17050</v>
      </c>
      <c r="H19" s="124">
        <f>8525+8525</f>
        <v>17050</v>
      </c>
      <c r="I19" s="124">
        <f>8525+8525</f>
        <v>17050</v>
      </c>
      <c r="J19" s="124">
        <f>8525+8525</f>
        <v>17050</v>
      </c>
      <c r="K19" s="124">
        <f>8525+8525</f>
        <v>17050</v>
      </c>
      <c r="L19" s="124">
        <f>5025+3500+5025+3500</f>
        <v>17050</v>
      </c>
      <c r="M19" s="124">
        <f>5025+3500+8525</f>
        <v>17050</v>
      </c>
    </row>
    <row r="20" spans="1:13" ht="23.25" customHeight="1">
      <c r="A20" s="248">
        <v>15</v>
      </c>
      <c r="B20" s="260" t="s">
        <v>201</v>
      </c>
      <c r="C20" s="124">
        <f>125+125+125+125</f>
        <v>500</v>
      </c>
      <c r="D20" s="124">
        <f>250+250</f>
        <v>500</v>
      </c>
      <c r="E20" s="124">
        <f>250+250</f>
        <v>500</v>
      </c>
      <c r="F20" s="124">
        <v>500</v>
      </c>
      <c r="G20" s="124">
        <f>250+250</f>
        <v>500</v>
      </c>
      <c r="H20" s="124">
        <f>250+250</f>
        <v>500</v>
      </c>
      <c r="I20" s="124">
        <f>250+250</f>
        <v>500</v>
      </c>
      <c r="J20" s="124">
        <f>125+250+125</f>
        <v>500</v>
      </c>
      <c r="K20" s="124">
        <f>250+250</f>
        <v>500</v>
      </c>
      <c r="L20" s="124">
        <f>250+250</f>
        <v>500</v>
      </c>
      <c r="M20" s="124">
        <f>250+250</f>
        <v>500</v>
      </c>
    </row>
    <row r="21" spans="1:13" ht="23.25" customHeight="1">
      <c r="A21" s="248">
        <v>22</v>
      </c>
      <c r="B21" s="260" t="s">
        <v>332</v>
      </c>
      <c r="C21" s="124">
        <f>2375+5600+2975</f>
        <v>10950</v>
      </c>
      <c r="D21" s="124">
        <f>5600+5350</f>
        <v>10950</v>
      </c>
      <c r="E21" s="124">
        <f>5475+5475</f>
        <v>10950</v>
      </c>
      <c r="F21" s="124">
        <v>10950</v>
      </c>
      <c r="G21" s="124">
        <f>5475+5475</f>
        <v>10950</v>
      </c>
      <c r="H21" s="124">
        <f>5475+5475</f>
        <v>10950</v>
      </c>
      <c r="I21" s="124">
        <f>5475+5475</f>
        <v>10950</v>
      </c>
      <c r="J21" s="124">
        <f>5475+5475</f>
        <v>10950</v>
      </c>
      <c r="K21" s="124">
        <f>5475+5475</f>
        <v>10950</v>
      </c>
      <c r="L21" s="124">
        <f>2800+2675+2675+2800</f>
        <v>10950</v>
      </c>
      <c r="M21" s="124">
        <f>2675+2800+5475</f>
        <v>10950</v>
      </c>
    </row>
    <row r="22" spans="1:13" ht="23.25" customHeight="1">
      <c r="A22" s="248">
        <v>27</v>
      </c>
      <c r="B22" s="260" t="s">
        <v>324</v>
      </c>
      <c r="C22" s="124">
        <f>125+125+250</f>
        <v>500</v>
      </c>
      <c r="D22" s="124">
        <f>250+250</f>
        <v>500</v>
      </c>
      <c r="E22" s="124">
        <f>250+250</f>
        <v>500</v>
      </c>
      <c r="F22" s="124">
        <v>500</v>
      </c>
      <c r="G22" s="124">
        <f aca="true" t="shared" si="0" ref="G22:L22">250+250</f>
        <v>500</v>
      </c>
      <c r="H22" s="124">
        <f t="shared" si="0"/>
        <v>500</v>
      </c>
      <c r="I22" s="124">
        <f t="shared" si="0"/>
        <v>500</v>
      </c>
      <c r="J22" s="124">
        <f t="shared" si="0"/>
        <v>500</v>
      </c>
      <c r="K22" s="124">
        <f t="shared" si="0"/>
        <v>500</v>
      </c>
      <c r="L22" s="124">
        <f t="shared" si="0"/>
        <v>500</v>
      </c>
      <c r="M22" s="124">
        <f>125+125+250</f>
        <v>500</v>
      </c>
    </row>
    <row r="23" spans="1:13" ht="15" customHeight="1">
      <c r="A23" s="248">
        <v>51</v>
      </c>
      <c r="B23" s="260" t="s">
        <v>137</v>
      </c>
      <c r="C23" s="124">
        <v>2692.04</v>
      </c>
      <c r="D23" s="124">
        <v>2987.61</v>
      </c>
      <c r="E23" s="124">
        <v>2987.6</v>
      </c>
      <c r="F23" s="124">
        <v>2987.6</v>
      </c>
      <c r="G23" s="124">
        <v>2987.6</v>
      </c>
      <c r="H23" s="124">
        <v>2987.6</v>
      </c>
      <c r="I23" s="124">
        <v>2987.6</v>
      </c>
      <c r="J23" s="124">
        <v>2987.6</v>
      </c>
      <c r="K23" s="124">
        <v>2987.6</v>
      </c>
      <c r="L23" s="124">
        <v>2987.6</v>
      </c>
      <c r="M23" s="124">
        <v>2987.6</v>
      </c>
    </row>
    <row r="24" spans="1:13" ht="15">
      <c r="A24" s="248">
        <v>61</v>
      </c>
      <c r="B24" s="260" t="s">
        <v>316</v>
      </c>
      <c r="C24" s="124">
        <f>15400+12000</f>
        <v>27400</v>
      </c>
      <c r="D24" s="124">
        <f>8400+19000</f>
        <v>27400</v>
      </c>
      <c r="E24" s="124">
        <f>21400+6000</f>
        <v>27400</v>
      </c>
      <c r="F24" s="124">
        <v>27400</v>
      </c>
      <c r="G24" s="124">
        <v>27400</v>
      </c>
      <c r="H24" s="124">
        <v>27400</v>
      </c>
      <c r="I24" s="124">
        <v>27400</v>
      </c>
      <c r="J24" s="124">
        <v>27400</v>
      </c>
      <c r="K24" s="124">
        <v>27400</v>
      </c>
      <c r="L24" s="124">
        <v>27400</v>
      </c>
      <c r="M24" s="124">
        <v>27400</v>
      </c>
    </row>
    <row r="25" spans="1:13" ht="15">
      <c r="A25" s="248">
        <v>63</v>
      </c>
      <c r="B25" s="260" t="s">
        <v>190</v>
      </c>
      <c r="C25" s="124">
        <v>10000</v>
      </c>
      <c r="D25" s="124">
        <v>10000</v>
      </c>
      <c r="E25" s="124">
        <v>10000</v>
      </c>
      <c r="F25" s="124">
        <v>10000</v>
      </c>
      <c r="G25" s="124">
        <v>10000</v>
      </c>
      <c r="H25" s="124">
        <v>10000</v>
      </c>
      <c r="I25" s="124">
        <v>10000</v>
      </c>
      <c r="J25" s="124">
        <v>10000</v>
      </c>
      <c r="K25" s="124">
        <v>10000</v>
      </c>
      <c r="L25" s="124">
        <v>10000</v>
      </c>
      <c r="M25" s="124">
        <v>10000</v>
      </c>
    </row>
    <row r="26" spans="1:13" ht="15">
      <c r="A26" s="248" t="s">
        <v>181</v>
      </c>
      <c r="B26" s="260" t="s">
        <v>138</v>
      </c>
      <c r="C26" s="124"/>
      <c r="D26" s="124"/>
      <c r="E26" s="124"/>
      <c r="F26" s="124"/>
      <c r="G26" s="124"/>
      <c r="H26" s="124"/>
      <c r="I26" s="124"/>
      <c r="J26" s="124"/>
      <c r="K26" s="124"/>
      <c r="L26" s="124">
        <v>28000</v>
      </c>
      <c r="M26" s="124"/>
    </row>
    <row r="27" spans="1:13" ht="15">
      <c r="A27" s="248">
        <v>72</v>
      </c>
      <c r="B27" s="260" t="s">
        <v>139</v>
      </c>
      <c r="C27" s="124"/>
      <c r="D27" s="124"/>
      <c r="E27" s="124"/>
      <c r="F27" s="124"/>
      <c r="G27" s="124"/>
      <c r="H27" s="124"/>
      <c r="I27" s="124">
        <f>2776.99+2653.01+6669.5+4983.7</f>
        <v>17083.2</v>
      </c>
      <c r="J27" s="124"/>
      <c r="K27" s="124"/>
      <c r="L27" s="124">
        <v>14115.06</v>
      </c>
      <c r="M27" s="124"/>
    </row>
    <row r="28" spans="1:13" ht="15" customHeight="1">
      <c r="A28" s="251" t="s">
        <v>207</v>
      </c>
      <c r="B28" s="260" t="s">
        <v>140</v>
      </c>
      <c r="C28" s="124"/>
      <c r="D28" s="124"/>
      <c r="E28" s="124">
        <v>7800</v>
      </c>
      <c r="F28" s="124"/>
      <c r="G28" s="124"/>
      <c r="H28" s="124"/>
      <c r="I28" s="124"/>
      <c r="J28" s="124">
        <v>7400</v>
      </c>
      <c r="K28" s="124"/>
      <c r="L28" s="124">
        <v>4800</v>
      </c>
      <c r="M28" s="124">
        <f>2800+10000</f>
        <v>12800</v>
      </c>
    </row>
    <row r="29" spans="1:13" ht="15.75" customHeight="1">
      <c r="A29" s="248" t="s">
        <v>182</v>
      </c>
      <c r="B29" s="260" t="s">
        <v>282</v>
      </c>
      <c r="C29" s="124"/>
      <c r="D29" s="124"/>
      <c r="E29" s="124"/>
      <c r="F29" s="124"/>
      <c r="G29" s="124"/>
      <c r="H29" s="124"/>
      <c r="I29" s="124"/>
      <c r="J29" s="124"/>
      <c r="K29" s="124"/>
      <c r="L29" s="124"/>
      <c r="M29" s="124"/>
    </row>
    <row r="30" spans="1:13" ht="15">
      <c r="A30" s="248">
        <v>111</v>
      </c>
      <c r="B30" s="260" t="s">
        <v>141</v>
      </c>
      <c r="C30" s="124">
        <v>296.73</v>
      </c>
      <c r="D30" s="124">
        <v>367.21</v>
      </c>
      <c r="E30" s="124"/>
      <c r="F30" s="124">
        <v>698.04</v>
      </c>
      <c r="G30" s="124"/>
      <c r="H30" s="124">
        <v>347.88</v>
      </c>
      <c r="I30" s="124">
        <v>306.57</v>
      </c>
      <c r="J30" s="124">
        <f>310.03+337.71</f>
        <v>647.74</v>
      </c>
      <c r="K30" s="124"/>
      <c r="L30" s="124">
        <v>329.05</v>
      </c>
      <c r="M30" s="124">
        <v>331.82</v>
      </c>
    </row>
    <row r="31" spans="1:13" ht="14.25" customHeight="1">
      <c r="A31" s="248">
        <v>112</v>
      </c>
      <c r="B31" s="260" t="s">
        <v>353</v>
      </c>
      <c r="C31" s="124"/>
      <c r="D31" s="124">
        <v>448.62</v>
      </c>
      <c r="E31" s="124"/>
      <c r="F31" s="124">
        <v>412.13</v>
      </c>
      <c r="G31" s="124"/>
      <c r="H31" s="124">
        <v>216.49</v>
      </c>
      <c r="I31" s="124">
        <v>87.22</v>
      </c>
      <c r="J31" s="124">
        <f>185.21+185.21</f>
        <v>370.42</v>
      </c>
      <c r="K31" s="124"/>
      <c r="L31" s="124">
        <v>174.78</v>
      </c>
      <c r="M31" s="124">
        <v>153.92</v>
      </c>
    </row>
    <row r="32" spans="1:13" ht="12.75" customHeight="1">
      <c r="A32" s="248">
        <v>113</v>
      </c>
      <c r="B32" s="260" t="s">
        <v>183</v>
      </c>
      <c r="C32" s="124"/>
      <c r="D32" s="124">
        <f>1368.72+300</f>
        <v>1668.72</v>
      </c>
      <c r="E32" s="124">
        <f>140+10</f>
        <v>150</v>
      </c>
      <c r="F32" s="124">
        <f>600+868+114.1+140.14</f>
        <v>1722.2399999999998</v>
      </c>
      <c r="G32" s="124"/>
      <c r="H32" s="124">
        <f>300+300+1091.1</f>
        <v>1691.1</v>
      </c>
      <c r="I32" s="124">
        <f>531.88+300</f>
        <v>831.88</v>
      </c>
      <c r="J32" s="124">
        <v>835.6</v>
      </c>
      <c r="K32" s="124">
        <v>300</v>
      </c>
      <c r="L32" s="124">
        <f>1069.32+300</f>
        <v>1369.32</v>
      </c>
      <c r="M32" s="124">
        <f>830+50</f>
        <v>880</v>
      </c>
    </row>
    <row r="33" spans="1:13" ht="15">
      <c r="A33" s="248">
        <v>114</v>
      </c>
      <c r="B33" s="260" t="s">
        <v>199</v>
      </c>
      <c r="C33" s="124"/>
      <c r="D33" s="124"/>
      <c r="E33" s="124"/>
      <c r="F33" s="124"/>
      <c r="G33" s="124"/>
      <c r="H33" s="124"/>
      <c r="I33" s="124"/>
      <c r="J33" s="124"/>
      <c r="K33" s="124"/>
      <c r="L33" s="124"/>
      <c r="M33" s="124"/>
    </row>
    <row r="34" spans="1:13" ht="23.25" customHeight="1">
      <c r="A34" s="248">
        <v>115</v>
      </c>
      <c r="B34" s="260" t="s">
        <v>352</v>
      </c>
      <c r="C34" s="124">
        <v>50</v>
      </c>
      <c r="D34" s="124">
        <v>50</v>
      </c>
      <c r="E34" s="124">
        <v>50</v>
      </c>
      <c r="F34" s="124">
        <v>50</v>
      </c>
      <c r="G34" s="124">
        <v>50</v>
      </c>
      <c r="H34" s="124">
        <v>50</v>
      </c>
      <c r="I34" s="124">
        <v>50</v>
      </c>
      <c r="J34" s="124">
        <v>50</v>
      </c>
      <c r="K34" s="124">
        <v>50</v>
      </c>
      <c r="L34" s="124">
        <v>50</v>
      </c>
      <c r="M34" s="124">
        <v>50</v>
      </c>
    </row>
    <row r="35" spans="1:13" ht="15">
      <c r="A35" s="248">
        <v>121</v>
      </c>
      <c r="B35" s="260" t="s">
        <v>142</v>
      </c>
      <c r="C35" s="124"/>
      <c r="D35" s="124">
        <f>2050.2+5</f>
        <v>2055.2</v>
      </c>
      <c r="E35" s="124"/>
      <c r="F35" s="124"/>
      <c r="G35" s="124"/>
      <c r="H35" s="124"/>
      <c r="I35" s="124"/>
      <c r="J35" s="124"/>
      <c r="K35" s="124"/>
      <c r="L35" s="124"/>
      <c r="M35" s="124"/>
    </row>
    <row r="36" spans="1:13" ht="15">
      <c r="A36" s="248">
        <v>122</v>
      </c>
      <c r="B36" s="260" t="s">
        <v>367</v>
      </c>
      <c r="C36" s="124"/>
      <c r="D36" s="124"/>
      <c r="E36" s="124"/>
      <c r="F36" s="124"/>
      <c r="G36" s="124"/>
      <c r="H36" s="124"/>
      <c r="I36" s="124"/>
      <c r="J36" s="124"/>
      <c r="K36" s="124"/>
      <c r="L36" s="124"/>
      <c r="M36" s="124"/>
    </row>
    <row r="37" spans="1:13" ht="24.75" customHeight="1">
      <c r="A37" s="248">
        <v>131</v>
      </c>
      <c r="B37" s="260" t="s">
        <v>184</v>
      </c>
      <c r="C37" s="124">
        <v>44400</v>
      </c>
      <c r="D37" s="124">
        <v>3200</v>
      </c>
      <c r="E37" s="124"/>
      <c r="F37" s="256"/>
      <c r="G37" s="124">
        <f>158028.38+31605.66+10300+20600+7039</f>
        <v>227573.04</v>
      </c>
      <c r="H37" s="124">
        <f>136300+4050+9995.04+3331.68</f>
        <v>153676.72</v>
      </c>
      <c r="I37" s="124">
        <v>3956</v>
      </c>
      <c r="J37" s="124"/>
      <c r="K37" s="124">
        <v>3200</v>
      </c>
      <c r="L37" s="124"/>
      <c r="M37" s="124"/>
    </row>
    <row r="38" spans="1:13" ht="15">
      <c r="A38" s="248" t="s">
        <v>143</v>
      </c>
      <c r="B38" s="260" t="s">
        <v>144</v>
      </c>
      <c r="C38" s="124">
        <f>1062.5+1012.5</f>
        <v>2075</v>
      </c>
      <c r="D38" s="124">
        <f>1850+500</f>
        <v>2350</v>
      </c>
      <c r="E38" s="124">
        <f>1325+2550+500+899+1000</f>
        <v>6274</v>
      </c>
      <c r="F38" s="124">
        <f>6700+2736+2175</f>
        <v>11611</v>
      </c>
      <c r="G38" s="124">
        <f>24949.98+815+750</f>
        <v>26514.98</v>
      </c>
      <c r="H38" s="124">
        <f>1725+37424.97+1472</f>
        <v>40621.97</v>
      </c>
      <c r="I38" s="124">
        <f>583+322+1350</f>
        <v>2255</v>
      </c>
      <c r="J38" s="124">
        <f>2400+750+3400</f>
        <v>6550</v>
      </c>
      <c r="K38" s="124">
        <f>500+525</f>
        <v>1025</v>
      </c>
      <c r="L38" s="124">
        <f>1600+1925+2785</f>
        <v>6310</v>
      </c>
      <c r="M38" s="124">
        <f>3815+653+2300+1000+1875</f>
        <v>9643</v>
      </c>
    </row>
    <row r="39" spans="1:13" ht="15.75" customHeight="1">
      <c r="A39" s="248" t="s">
        <v>145</v>
      </c>
      <c r="B39" s="260" t="s">
        <v>146</v>
      </c>
      <c r="C39" s="124"/>
      <c r="D39" s="124"/>
      <c r="E39" s="124">
        <v>6500</v>
      </c>
      <c r="F39" s="124"/>
      <c r="G39" s="124"/>
      <c r="H39" s="124"/>
      <c r="I39" s="124"/>
      <c r="J39" s="124">
        <v>6500</v>
      </c>
      <c r="K39" s="124"/>
      <c r="L39" s="124"/>
      <c r="M39" s="124">
        <f>7000+7000</f>
        <v>14000</v>
      </c>
    </row>
    <row r="40" spans="1:13" ht="15">
      <c r="A40" s="248">
        <v>151</v>
      </c>
      <c r="B40" s="260" t="s">
        <v>147</v>
      </c>
      <c r="C40" s="124">
        <v>8268.74</v>
      </c>
      <c r="D40" s="124">
        <v>8268.74</v>
      </c>
      <c r="E40" s="124">
        <v>8268.74</v>
      </c>
      <c r="F40" s="124">
        <v>8665</v>
      </c>
      <c r="G40" s="124">
        <v>8665</v>
      </c>
      <c r="H40" s="124">
        <v>8665</v>
      </c>
      <c r="I40" s="124">
        <v>8665</v>
      </c>
      <c r="J40" s="124">
        <v>8665</v>
      </c>
      <c r="K40" s="124">
        <f>4500+8665</f>
        <v>13165</v>
      </c>
      <c r="L40" s="124">
        <v>8665</v>
      </c>
      <c r="M40" s="124">
        <v>8665</v>
      </c>
    </row>
    <row r="41" spans="1:13" s="245" customFormat="1" ht="14.25" customHeight="1">
      <c r="A41" s="248">
        <v>152</v>
      </c>
      <c r="B41" s="260" t="s">
        <v>336</v>
      </c>
      <c r="C41" s="124"/>
      <c r="D41" s="124"/>
      <c r="E41" s="124"/>
      <c r="F41" s="124"/>
      <c r="G41" s="124"/>
      <c r="H41" s="124"/>
      <c r="I41" s="124"/>
      <c r="J41" s="124"/>
      <c r="K41" s="124"/>
      <c r="L41" s="124"/>
      <c r="M41" s="124"/>
    </row>
    <row r="42" spans="1:13" ht="14.25" customHeight="1">
      <c r="A42" s="248">
        <v>153</v>
      </c>
      <c r="B42" s="260" t="s">
        <v>148</v>
      </c>
      <c r="C42" s="124">
        <v>600</v>
      </c>
      <c r="D42" s="124">
        <v>600</v>
      </c>
      <c r="E42" s="124">
        <v>600</v>
      </c>
      <c r="F42" s="124">
        <f>987.54</f>
        <v>987.54</v>
      </c>
      <c r="G42" s="124">
        <v>654</v>
      </c>
      <c r="H42" s="124">
        <v>760.74</v>
      </c>
      <c r="I42" s="124">
        <v>600</v>
      </c>
      <c r="J42" s="124">
        <v>600</v>
      </c>
      <c r="K42" s="124">
        <v>600</v>
      </c>
      <c r="L42" s="124">
        <v>600</v>
      </c>
      <c r="M42" s="124">
        <v>600</v>
      </c>
    </row>
    <row r="43" spans="1:13" ht="15">
      <c r="A43" s="248">
        <v>155</v>
      </c>
      <c r="B43" s="260" t="s">
        <v>149</v>
      </c>
      <c r="C43" s="124"/>
      <c r="D43" s="124"/>
      <c r="E43" s="124">
        <v>9500</v>
      </c>
      <c r="F43" s="124">
        <v>6300</v>
      </c>
      <c r="G43" s="124"/>
      <c r="H43" s="124">
        <f>6440+350+1650+11300</f>
        <v>19740</v>
      </c>
      <c r="I43" s="124">
        <f>350+11300</f>
        <v>11650</v>
      </c>
      <c r="J43" s="124">
        <f>8400+5050+5600+1300+2050+4500+1000</f>
        <v>27900</v>
      </c>
      <c r="K43" s="124"/>
      <c r="L43" s="124">
        <f>1500+2550+2000</f>
        <v>6050</v>
      </c>
      <c r="M43" s="124">
        <f>9000+4560+9300+2500+10850+1700</f>
        <v>37910</v>
      </c>
    </row>
    <row r="44" spans="1:13" ht="22.5" customHeight="1">
      <c r="A44" s="248">
        <v>161</v>
      </c>
      <c r="B44" s="260" t="s">
        <v>185</v>
      </c>
      <c r="C44" s="124"/>
      <c r="D44" s="124"/>
      <c r="E44" s="124"/>
      <c r="F44" s="124"/>
      <c r="G44" s="124"/>
      <c r="H44" s="124"/>
      <c r="I44" s="124"/>
      <c r="J44" s="124"/>
      <c r="K44" s="124"/>
      <c r="L44" s="124"/>
      <c r="M44" s="124"/>
    </row>
    <row r="45" spans="1:13" ht="15">
      <c r="A45" s="248">
        <v>164</v>
      </c>
      <c r="B45" s="260" t="s">
        <v>195</v>
      </c>
      <c r="C45" s="124"/>
      <c r="D45" s="124"/>
      <c r="E45" s="124">
        <f>1050+1000</f>
        <v>2050</v>
      </c>
      <c r="F45" s="124"/>
      <c r="G45" s="124"/>
      <c r="H45" s="124">
        <f>1850+3575</f>
        <v>5425</v>
      </c>
      <c r="I45" s="124">
        <v>1600</v>
      </c>
      <c r="J45" s="124">
        <f>3640+2900</f>
        <v>6540</v>
      </c>
      <c r="K45" s="124">
        <v>1750</v>
      </c>
      <c r="L45" s="124"/>
      <c r="M45" s="124"/>
    </row>
    <row r="46" spans="1:13" ht="23.25" customHeight="1">
      <c r="A46" s="248" t="s">
        <v>150</v>
      </c>
      <c r="B46" s="260" t="s">
        <v>151</v>
      </c>
      <c r="C46" s="124"/>
      <c r="D46" s="124">
        <f>750+5225</f>
        <v>5975</v>
      </c>
      <c r="E46" s="124"/>
      <c r="F46" s="124"/>
      <c r="G46" s="124"/>
      <c r="H46" s="124"/>
      <c r="I46" s="124">
        <v>350</v>
      </c>
      <c r="J46" s="124"/>
      <c r="K46" s="124"/>
      <c r="L46" s="124"/>
      <c r="M46" s="124"/>
    </row>
    <row r="47" spans="1:13" ht="22.5" customHeight="1">
      <c r="A47" s="248">
        <v>169</v>
      </c>
      <c r="B47" s="260" t="s">
        <v>364</v>
      </c>
      <c r="C47" s="124"/>
      <c r="D47" s="124"/>
      <c r="E47" s="124"/>
      <c r="F47" s="124"/>
      <c r="G47" s="124"/>
      <c r="H47" s="124"/>
      <c r="I47" s="124"/>
      <c r="J47" s="124"/>
      <c r="K47" s="124"/>
      <c r="L47" s="124"/>
      <c r="M47" s="124"/>
    </row>
    <row r="48" spans="1:13" ht="15" customHeight="1">
      <c r="A48" s="248">
        <v>182</v>
      </c>
      <c r="B48" s="260" t="s">
        <v>354</v>
      </c>
      <c r="C48" s="124">
        <v>2380</v>
      </c>
      <c r="D48" s="124"/>
      <c r="E48" s="124"/>
      <c r="F48" s="124">
        <v>130</v>
      </c>
      <c r="G48" s="124"/>
      <c r="H48" s="124"/>
      <c r="I48" s="124">
        <v>680</v>
      </c>
      <c r="J48" s="124">
        <f>1645+1847</f>
        <v>3492</v>
      </c>
      <c r="K48" s="124">
        <v>257</v>
      </c>
      <c r="L48" s="124">
        <v>1200</v>
      </c>
      <c r="M48" s="124">
        <v>50</v>
      </c>
    </row>
    <row r="49" spans="1:13" s="245" customFormat="1" ht="15" customHeight="1">
      <c r="A49" s="248">
        <v>183</v>
      </c>
      <c r="B49" s="260" t="s">
        <v>152</v>
      </c>
      <c r="C49" s="124"/>
      <c r="D49" s="124">
        <v>200</v>
      </c>
      <c r="E49" s="124">
        <v>800</v>
      </c>
      <c r="F49" s="124"/>
      <c r="G49" s="124"/>
      <c r="H49" s="124"/>
      <c r="I49" s="124"/>
      <c r="J49" s="124">
        <v>10000</v>
      </c>
      <c r="K49" s="124">
        <v>300</v>
      </c>
      <c r="L49" s="124">
        <v>200</v>
      </c>
      <c r="M49" s="124"/>
    </row>
    <row r="50" spans="1:13" ht="15">
      <c r="A50" s="248">
        <v>185</v>
      </c>
      <c r="B50" s="260" t="s">
        <v>198</v>
      </c>
      <c r="C50" s="124"/>
      <c r="D50" s="124"/>
      <c r="E50" s="124"/>
      <c r="F50" s="124"/>
      <c r="G50" s="124"/>
      <c r="H50" s="124"/>
      <c r="I50" s="124"/>
      <c r="J50" s="124"/>
      <c r="K50" s="124"/>
      <c r="L50" s="124"/>
      <c r="M50" s="124"/>
    </row>
    <row r="51" spans="1:13" ht="15">
      <c r="A51" s="248">
        <v>186</v>
      </c>
      <c r="B51" s="260" t="s">
        <v>200</v>
      </c>
      <c r="C51" s="124"/>
      <c r="D51" s="124"/>
      <c r="E51" s="124"/>
      <c r="F51" s="124"/>
      <c r="G51" s="124"/>
      <c r="H51" s="124"/>
      <c r="I51" s="124"/>
      <c r="J51" s="124">
        <v>2800</v>
      </c>
      <c r="K51" s="124"/>
      <c r="L51" s="124">
        <f>2800+3150</f>
        <v>5950</v>
      </c>
      <c r="M51" s="124">
        <f>6300+2800</f>
        <v>9100</v>
      </c>
    </row>
    <row r="52" spans="1:13" ht="29.25" customHeight="1">
      <c r="A52" s="248">
        <v>189</v>
      </c>
      <c r="B52" s="260" t="s">
        <v>153</v>
      </c>
      <c r="C52" s="124">
        <f>3700+2650+4500+4125</f>
        <v>14975</v>
      </c>
      <c r="D52" s="124">
        <f>28900+14000</f>
        <v>42900</v>
      </c>
      <c r="E52" s="124">
        <f>20770+4100+3970+2650+48290+13100+3000+2800+14040+1680+3300+4500</f>
        <v>122200</v>
      </c>
      <c r="F52" s="124">
        <f>4100+11800+8250+4100+4600+2650+3300+3300+3970+8400+4200+3970+4200+2800+3300+4725</f>
        <v>77665</v>
      </c>
      <c r="G52" s="124">
        <f>4500+4100+18470+19600+18970</f>
        <v>65640</v>
      </c>
      <c r="H52" s="124">
        <f>4100+16950+2650+33240+4200</f>
        <v>61140</v>
      </c>
      <c r="I52" s="124">
        <f>12350+4100+37670+2650+2650</f>
        <v>59420</v>
      </c>
      <c r="J52" s="124">
        <f>8000+13600+5200+11665+1800+4600+12500+1600+1400+4100+11350+8250+34640</f>
        <v>118705</v>
      </c>
      <c r="K52" s="124">
        <f>4100+12350+4600+40090</f>
        <v>61140</v>
      </c>
      <c r="L52" s="124">
        <f>4100+37290+16950+1600+6600</f>
        <v>66540</v>
      </c>
      <c r="M52" s="124">
        <f>1360+1600+1200+6600+1800+11100+2300+6800+14400+4100+2000+10800+17550+18000+12850+37290+6500</f>
        <v>156250</v>
      </c>
    </row>
    <row r="53" spans="1:13" ht="23.25" customHeight="1">
      <c r="A53" s="248">
        <v>191</v>
      </c>
      <c r="B53" s="260" t="s">
        <v>365</v>
      </c>
      <c r="C53" s="124"/>
      <c r="D53" s="124"/>
      <c r="E53" s="124"/>
      <c r="F53" s="124"/>
      <c r="G53" s="124"/>
      <c r="H53" s="124"/>
      <c r="I53" s="124"/>
      <c r="J53" s="124"/>
      <c r="K53" s="124"/>
      <c r="L53" s="124"/>
      <c r="M53" s="124"/>
    </row>
    <row r="54" spans="1:13" ht="14.25" customHeight="1">
      <c r="A54" s="248" t="s">
        <v>154</v>
      </c>
      <c r="B54" s="260" t="s">
        <v>155</v>
      </c>
      <c r="C54" s="124">
        <v>130</v>
      </c>
      <c r="D54" s="124">
        <v>50</v>
      </c>
      <c r="E54" s="124"/>
      <c r="F54" s="124"/>
      <c r="G54" s="124"/>
      <c r="H54" s="124"/>
      <c r="I54" s="124"/>
      <c r="J54" s="124"/>
      <c r="K54" s="124"/>
      <c r="L54" s="124"/>
      <c r="M54" s="124"/>
    </row>
    <row r="55" spans="1:13" ht="18" customHeight="1">
      <c r="A55" s="248">
        <f>195</f>
        <v>195</v>
      </c>
      <c r="B55" s="260" t="s">
        <v>186</v>
      </c>
      <c r="C55" s="124">
        <v>37.56</v>
      </c>
      <c r="D55" s="124">
        <v>43.65</v>
      </c>
      <c r="E55" s="124">
        <v>110.73</v>
      </c>
      <c r="F55" s="124">
        <v>71.26</v>
      </c>
      <c r="G55" s="124">
        <v>52.5</v>
      </c>
      <c r="H55" s="124">
        <v>84.77</v>
      </c>
      <c r="I55" s="124">
        <v>143.06</v>
      </c>
      <c r="J55" s="124">
        <v>113.94</v>
      </c>
      <c r="K55" s="124">
        <v>110.86</v>
      </c>
      <c r="L55" s="124">
        <v>136.43</v>
      </c>
      <c r="M55" s="124">
        <v>98.96</v>
      </c>
    </row>
    <row r="56" spans="1:13" ht="24.75" customHeight="1">
      <c r="A56" s="248">
        <v>196</v>
      </c>
      <c r="B56" s="260" t="s">
        <v>156</v>
      </c>
      <c r="C56" s="124">
        <v>1000</v>
      </c>
      <c r="D56" s="124"/>
      <c r="E56" s="124">
        <f>350+3660+2250+23200</f>
        <v>29460</v>
      </c>
      <c r="F56" s="124">
        <v>1840</v>
      </c>
      <c r="G56" s="124"/>
      <c r="H56" s="124">
        <v>890</v>
      </c>
      <c r="I56" s="124">
        <v>546.03</v>
      </c>
      <c r="J56" s="124"/>
      <c r="K56" s="124">
        <f>546.03+23460</f>
        <v>24006.03</v>
      </c>
      <c r="L56" s="124">
        <f>546.03+15800+3000</f>
        <v>19346.03</v>
      </c>
      <c r="M56" s="124">
        <f>11000+18725</f>
        <v>29725</v>
      </c>
    </row>
    <row r="57" spans="1:13" ht="15">
      <c r="A57" s="248">
        <v>197</v>
      </c>
      <c r="B57" s="260" t="s">
        <v>312</v>
      </c>
      <c r="C57" s="124">
        <v>977.5</v>
      </c>
      <c r="D57" s="124">
        <v>977.5</v>
      </c>
      <c r="E57" s="124">
        <f>977.5+8400</f>
        <v>9377.5</v>
      </c>
      <c r="F57" s="124">
        <v>977.5</v>
      </c>
      <c r="G57" s="124">
        <v>977.5</v>
      </c>
      <c r="H57" s="124">
        <v>977.5</v>
      </c>
      <c r="I57" s="124">
        <v>977.5</v>
      </c>
      <c r="J57" s="124">
        <f>8400+977.5</f>
        <v>9377.5</v>
      </c>
      <c r="K57" s="124">
        <v>977.5</v>
      </c>
      <c r="L57" s="124">
        <f>977.5+2800</f>
        <v>3777.5</v>
      </c>
      <c r="M57" s="124">
        <f>977.5+14000</f>
        <v>14977.5</v>
      </c>
    </row>
    <row r="58" spans="1:13" ht="15">
      <c r="A58" s="248">
        <v>199</v>
      </c>
      <c r="B58" s="261" t="s">
        <v>10</v>
      </c>
      <c r="C58" s="124">
        <f>76+40+2493.12</f>
        <v>2609.12</v>
      </c>
      <c r="D58" s="124">
        <f>192.9+95</f>
        <v>287.9</v>
      </c>
      <c r="E58" s="124">
        <f>1706+10+75.25+70+250+700</f>
        <v>2811.25</v>
      </c>
      <c r="F58" s="124">
        <f>9850.05+150+583+225+85</f>
        <v>10893.05</v>
      </c>
      <c r="G58" s="124">
        <f>11705.8+115.5+56</f>
        <v>11877.3</v>
      </c>
      <c r="H58" s="124">
        <f>55+6214.85+5910.03</f>
        <v>12179.880000000001</v>
      </c>
      <c r="I58" s="124">
        <f>1407.15+87+100</f>
        <v>1594.15</v>
      </c>
      <c r="J58" s="124">
        <f>300+2015</f>
        <v>2315</v>
      </c>
      <c r="K58" s="124">
        <f>230+95</f>
        <v>325</v>
      </c>
      <c r="L58" s="124">
        <f>250+1181</f>
        <v>1431</v>
      </c>
      <c r="M58" s="124">
        <f>159+30+50+120+30</f>
        <v>389</v>
      </c>
    </row>
    <row r="59" spans="1:13" ht="15.75" customHeight="1">
      <c r="A59" s="248" t="s">
        <v>187</v>
      </c>
      <c r="B59" s="260" t="s">
        <v>157</v>
      </c>
      <c r="C59" s="124"/>
      <c r="D59" s="124"/>
      <c r="E59" s="124"/>
      <c r="F59" s="124"/>
      <c r="G59" s="124"/>
      <c r="H59" s="124"/>
      <c r="I59" s="124"/>
      <c r="J59" s="124"/>
      <c r="K59" s="124"/>
      <c r="L59" s="124"/>
      <c r="M59" s="124"/>
    </row>
    <row r="60" spans="1:13" ht="15">
      <c r="A60" s="248">
        <v>211</v>
      </c>
      <c r="B60" s="260" t="s">
        <v>158</v>
      </c>
      <c r="C60" s="124">
        <f>1973+527.8</f>
        <v>2500.8</v>
      </c>
      <c r="D60" s="124">
        <f>1050+1188</f>
        <v>2238</v>
      </c>
      <c r="E60" s="124">
        <f>844+495+3774.45+1867.3+1600+1050+527.9+2000+3065+3745+34895+1000+4370</f>
        <v>59233.65</v>
      </c>
      <c r="F60" s="124">
        <f>2572.45+4059+1075.35+563</f>
        <v>8269.8</v>
      </c>
      <c r="G60" s="124"/>
      <c r="H60" s="124">
        <f>100+1498</f>
        <v>1598</v>
      </c>
      <c r="I60" s="124">
        <f>3931.62+1320.9+489</f>
        <v>5741.52</v>
      </c>
      <c r="J60" s="124">
        <f>2430+2110+363+1960+1299.5</f>
        <v>8162.5</v>
      </c>
      <c r="K60" s="124">
        <f>1546.05+30680+522.5</f>
        <v>32748.55</v>
      </c>
      <c r="L60" s="124">
        <f>210+1152+606.55+24460+1465.4</f>
        <v>27893.95</v>
      </c>
      <c r="M60" s="124">
        <f>1539.95+358+25850+935+9800+7790.74+997-60.1</f>
        <v>47210.59</v>
      </c>
    </row>
    <row r="61" spans="1:13" ht="14.25" customHeight="1">
      <c r="A61" s="248" t="s">
        <v>159</v>
      </c>
      <c r="B61" s="260" t="s">
        <v>160</v>
      </c>
      <c r="C61" s="124">
        <v>2275</v>
      </c>
      <c r="D61" s="124"/>
      <c r="E61" s="124">
        <v>2160</v>
      </c>
      <c r="F61" s="124">
        <v>3360</v>
      </c>
      <c r="G61" s="124">
        <f>1623+1662.08</f>
        <v>3285.08</v>
      </c>
      <c r="H61" s="124">
        <f>5760+1545+2750+1650</f>
        <v>11705</v>
      </c>
      <c r="I61" s="124">
        <f>12900+1620</f>
        <v>14520</v>
      </c>
      <c r="J61" s="124"/>
      <c r="K61" s="258">
        <v>-1620</v>
      </c>
      <c r="L61" s="258">
        <f>10160+7125+500</f>
        <v>17785</v>
      </c>
      <c r="M61" s="258"/>
    </row>
    <row r="62" spans="1:13" ht="15.75" customHeight="1">
      <c r="A62" s="248" t="s">
        <v>161</v>
      </c>
      <c r="B62" s="260" t="s">
        <v>162</v>
      </c>
      <c r="C62" s="124"/>
      <c r="D62" s="124">
        <v>750</v>
      </c>
      <c r="E62" s="124">
        <v>96</v>
      </c>
      <c r="F62" s="124">
        <v>380</v>
      </c>
      <c r="G62" s="124"/>
      <c r="H62" s="124"/>
      <c r="I62" s="124"/>
      <c r="J62" s="124">
        <v>640</v>
      </c>
      <c r="K62" s="124"/>
      <c r="L62" s="124"/>
      <c r="M62" s="124">
        <f>300+300</f>
        <v>600</v>
      </c>
    </row>
    <row r="63" spans="1:13" ht="20.25" customHeight="1">
      <c r="A63" s="248" t="s">
        <v>188</v>
      </c>
      <c r="B63" s="260" t="s">
        <v>191</v>
      </c>
      <c r="C63" s="124">
        <v>124</v>
      </c>
      <c r="D63" s="124"/>
      <c r="E63" s="124">
        <v>123</v>
      </c>
      <c r="F63" s="124"/>
      <c r="G63" s="124"/>
      <c r="H63" s="124"/>
      <c r="I63" s="124">
        <f>276.85+201.3</f>
        <v>478.15000000000003</v>
      </c>
      <c r="J63" s="124"/>
      <c r="K63" s="124">
        <v>145.75</v>
      </c>
      <c r="L63" s="124"/>
      <c r="M63" s="124">
        <v>134</v>
      </c>
    </row>
    <row r="64" spans="1:13" ht="15.75" customHeight="1">
      <c r="A64" s="248">
        <v>245</v>
      </c>
      <c r="B64" s="260" t="s">
        <v>368</v>
      </c>
      <c r="C64" s="124"/>
      <c r="D64" s="124"/>
      <c r="E64" s="124"/>
      <c r="F64" s="124"/>
      <c r="G64" s="124">
        <v>146.8</v>
      </c>
      <c r="H64" s="124"/>
      <c r="I64" s="124"/>
      <c r="J64" s="124"/>
      <c r="K64" s="124"/>
      <c r="L64" s="124"/>
      <c r="M64" s="124"/>
    </row>
    <row r="65" spans="1:13" ht="25.5" customHeight="1">
      <c r="A65" s="248">
        <v>247</v>
      </c>
      <c r="B65" s="260" t="s">
        <v>163</v>
      </c>
      <c r="C65" s="124"/>
      <c r="D65" s="124"/>
      <c r="E65" s="124"/>
      <c r="F65" s="124"/>
      <c r="G65" s="124"/>
      <c r="H65" s="124"/>
      <c r="I65" s="124"/>
      <c r="J65" s="124"/>
      <c r="K65" s="124"/>
      <c r="L65" s="124"/>
      <c r="M65" s="124"/>
    </row>
    <row r="66" spans="1:13" ht="15">
      <c r="A66" s="248">
        <v>262</v>
      </c>
      <c r="B66" s="260" t="s">
        <v>164</v>
      </c>
      <c r="C66" s="124">
        <f>1350+595.14</f>
        <v>1945.1399999999999</v>
      </c>
      <c r="D66" s="124">
        <f>625+2150.03</f>
        <v>2775.03</v>
      </c>
      <c r="E66" s="124">
        <f>725+50+600+1015.1+587.5</f>
        <v>2977.6</v>
      </c>
      <c r="F66" s="124">
        <f>150+150+1228+1745</f>
        <v>3273</v>
      </c>
      <c r="G66" s="124">
        <v>112.8</v>
      </c>
      <c r="H66" s="124">
        <f>1135.1+780</f>
        <v>1915.1</v>
      </c>
      <c r="I66" s="124">
        <f>2207.29+1210</f>
        <v>3417.29</v>
      </c>
      <c r="J66" s="124">
        <f>95+775+250</f>
        <v>1120</v>
      </c>
      <c r="K66" s="124">
        <f>1565.21+1550.31</f>
        <v>3115.52</v>
      </c>
      <c r="L66" s="124">
        <f>245+500+1483.96</f>
        <v>2228.96</v>
      </c>
      <c r="M66" s="124">
        <f>2580.27+915.03+680+980+450</f>
        <v>5605.3</v>
      </c>
    </row>
    <row r="67" spans="1:13" ht="24" customHeight="1">
      <c r="A67" s="248">
        <v>266</v>
      </c>
      <c r="B67" s="260" t="s">
        <v>165</v>
      </c>
      <c r="C67" s="124">
        <v>100</v>
      </c>
      <c r="D67" s="124"/>
      <c r="E67" s="124"/>
      <c r="F67" s="124"/>
      <c r="G67" s="124">
        <f>2278.21+1250.01</f>
        <v>3528.2200000000003</v>
      </c>
      <c r="H67" s="124"/>
      <c r="I67" s="124"/>
      <c r="J67" s="124"/>
      <c r="K67" s="124"/>
      <c r="L67" s="124"/>
      <c r="M67" s="124">
        <v>386.49</v>
      </c>
    </row>
    <row r="68" spans="1:13" ht="15">
      <c r="A68" s="248" t="s">
        <v>166</v>
      </c>
      <c r="B68" s="260" t="s">
        <v>167</v>
      </c>
      <c r="C68" s="124"/>
      <c r="D68" s="124"/>
      <c r="E68" s="124">
        <v>520</v>
      </c>
      <c r="F68" s="124">
        <v>2587.5</v>
      </c>
      <c r="G68" s="124"/>
      <c r="H68" s="124"/>
      <c r="I68" s="124">
        <v>520</v>
      </c>
      <c r="J68" s="124"/>
      <c r="K68" s="124"/>
      <c r="L68" s="124">
        <v>1040</v>
      </c>
      <c r="M68" s="124"/>
    </row>
    <row r="69" spans="1:13" ht="15">
      <c r="A69" s="248">
        <v>268</v>
      </c>
      <c r="B69" s="260" t="s">
        <v>168</v>
      </c>
      <c r="C69" s="124">
        <v>95</v>
      </c>
      <c r="D69" s="124"/>
      <c r="E69" s="124">
        <f>172.45+131.75+444.7</f>
        <v>748.9</v>
      </c>
      <c r="F69" s="124">
        <f>250+240+9.75</f>
        <v>499.75</v>
      </c>
      <c r="G69" s="124"/>
      <c r="H69" s="124"/>
      <c r="I69" s="124">
        <v>450</v>
      </c>
      <c r="J69" s="124"/>
      <c r="K69" s="124">
        <v>106.5</v>
      </c>
      <c r="L69" s="124">
        <f>650.85+11165</f>
        <v>11815.85</v>
      </c>
      <c r="M69" s="124">
        <f>53.5+700</f>
        <v>753.5</v>
      </c>
    </row>
    <row r="70" spans="1:13" ht="15">
      <c r="A70" s="248">
        <v>283</v>
      </c>
      <c r="B70" s="260" t="s">
        <v>192</v>
      </c>
      <c r="C70" s="124"/>
      <c r="D70" s="124"/>
      <c r="E70" s="124">
        <v>230.95</v>
      </c>
      <c r="F70" s="124"/>
      <c r="G70" s="124">
        <v>295</v>
      </c>
      <c r="H70" s="124"/>
      <c r="I70" s="124">
        <v>494.25</v>
      </c>
      <c r="J70" s="124">
        <v>16.1</v>
      </c>
      <c r="K70" s="124"/>
      <c r="L70" s="124">
        <v>974.45</v>
      </c>
      <c r="M70" s="124">
        <v>209</v>
      </c>
    </row>
    <row r="71" spans="1:13" ht="14.25" customHeight="1">
      <c r="A71" s="248" t="s">
        <v>169</v>
      </c>
      <c r="B71" s="260" t="s">
        <v>0</v>
      </c>
      <c r="C71" s="124">
        <v>79</v>
      </c>
      <c r="D71" s="124">
        <v>1445.7</v>
      </c>
      <c r="E71" s="124">
        <f>65+83</f>
        <v>148</v>
      </c>
      <c r="F71" s="124">
        <v>405</v>
      </c>
      <c r="G71" s="124"/>
      <c r="H71" s="124">
        <v>360</v>
      </c>
      <c r="I71" s="124">
        <v>90</v>
      </c>
      <c r="J71" s="124"/>
      <c r="K71" s="124"/>
      <c r="L71" s="124"/>
      <c r="M71" s="124">
        <f>751.5+193+209</f>
        <v>1153.5</v>
      </c>
    </row>
    <row r="72" spans="1:13" ht="14.25" customHeight="1">
      <c r="A72" s="248" t="s">
        <v>170</v>
      </c>
      <c r="B72" s="260" t="s">
        <v>171</v>
      </c>
      <c r="C72" s="124">
        <v>842.6</v>
      </c>
      <c r="D72" s="124"/>
      <c r="E72" s="124">
        <v>230.9</v>
      </c>
      <c r="F72" s="124"/>
      <c r="G72" s="124"/>
      <c r="H72" s="124"/>
      <c r="I72" s="124">
        <v>52</v>
      </c>
      <c r="J72" s="124"/>
      <c r="K72" s="124">
        <v>151.45</v>
      </c>
      <c r="L72" s="124">
        <v>163.12</v>
      </c>
      <c r="M72" s="124">
        <f>322.85+117.85</f>
        <v>440.70000000000005</v>
      </c>
    </row>
    <row r="73" spans="1:13" ht="14.25" customHeight="1">
      <c r="A73" s="248">
        <v>294</v>
      </c>
      <c r="B73" s="260" t="s">
        <v>172</v>
      </c>
      <c r="C73" s="124"/>
      <c r="D73" s="124">
        <v>52720</v>
      </c>
      <c r="E73" s="124"/>
      <c r="F73" s="124">
        <v>3350</v>
      </c>
      <c r="G73" s="124">
        <v>786.15</v>
      </c>
      <c r="H73" s="124">
        <v>1560</v>
      </c>
      <c r="I73" s="124">
        <f>40680+40+13380</f>
        <v>54100</v>
      </c>
      <c r="J73" s="124">
        <v>7100</v>
      </c>
      <c r="K73" s="124">
        <v>27100</v>
      </c>
      <c r="L73" s="124">
        <f>850+20100</f>
        <v>20950</v>
      </c>
      <c r="M73" s="124">
        <f>720+6400+26740</f>
        <v>33860</v>
      </c>
    </row>
    <row r="74" spans="1:13" ht="14.25" customHeight="1">
      <c r="A74" s="248" t="s">
        <v>173</v>
      </c>
      <c r="B74" s="260" t="s">
        <v>16</v>
      </c>
      <c r="C74" s="124">
        <v>565</v>
      </c>
      <c r="D74" s="124"/>
      <c r="E74" s="124"/>
      <c r="F74" s="124"/>
      <c r="G74" s="124"/>
      <c r="H74" s="124"/>
      <c r="I74" s="124"/>
      <c r="J74" s="124"/>
      <c r="K74" s="124"/>
      <c r="L74" s="124">
        <f>3200+2550</f>
        <v>5750</v>
      </c>
      <c r="M74" s="124">
        <f>1260+25+52.95+370</f>
        <v>1707.95</v>
      </c>
    </row>
    <row r="75" spans="1:13" ht="14.25" customHeight="1">
      <c r="A75" s="252" t="s">
        <v>193</v>
      </c>
      <c r="B75" s="262" t="s">
        <v>175</v>
      </c>
      <c r="C75" s="124"/>
      <c r="D75" s="124"/>
      <c r="E75" s="124"/>
      <c r="F75" s="124"/>
      <c r="G75" s="124"/>
      <c r="H75" s="124"/>
      <c r="I75" s="124"/>
      <c r="J75" s="124"/>
      <c r="K75" s="124"/>
      <c r="L75" s="124"/>
      <c r="M75" s="124"/>
    </row>
    <row r="76" spans="1:13" ht="15">
      <c r="A76" s="248">
        <v>322</v>
      </c>
      <c r="B76" s="260" t="s">
        <v>174</v>
      </c>
      <c r="C76" s="124"/>
      <c r="D76" s="124">
        <v>1211.69</v>
      </c>
      <c r="E76" s="124">
        <v>2400</v>
      </c>
      <c r="F76" s="124"/>
      <c r="G76" s="124"/>
      <c r="H76" s="124"/>
      <c r="I76" s="124"/>
      <c r="J76" s="124"/>
      <c r="K76" s="124"/>
      <c r="L76" s="124"/>
      <c r="M76" s="124"/>
    </row>
    <row r="77" spans="1:13" ht="15">
      <c r="A77" s="248">
        <v>324</v>
      </c>
      <c r="B77" s="260" t="s">
        <v>333</v>
      </c>
      <c r="C77" s="124"/>
      <c r="D77" s="124"/>
      <c r="E77" s="124"/>
      <c r="F77" s="124"/>
      <c r="G77" s="124"/>
      <c r="H77" s="124"/>
      <c r="I77" s="124"/>
      <c r="J77" s="124"/>
      <c r="K77" s="124"/>
      <c r="L77" s="124"/>
      <c r="M77" s="124"/>
    </row>
    <row r="78" spans="1:13" ht="15">
      <c r="A78" s="248">
        <v>328</v>
      </c>
      <c r="B78" s="260" t="s">
        <v>176</v>
      </c>
      <c r="C78" s="124">
        <v>949</v>
      </c>
      <c r="D78" s="124"/>
      <c r="E78" s="124"/>
      <c r="F78" s="124"/>
      <c r="G78" s="124"/>
      <c r="H78" s="124"/>
      <c r="I78" s="124"/>
      <c r="J78" s="124"/>
      <c r="K78" s="124"/>
      <c r="L78" s="124"/>
      <c r="M78" s="124"/>
    </row>
    <row r="79" spans="1:13" ht="15">
      <c r="A79" s="248">
        <v>329</v>
      </c>
      <c r="B79" s="260"/>
      <c r="C79" s="124"/>
      <c r="D79" s="124"/>
      <c r="E79" s="124"/>
      <c r="F79" s="124"/>
      <c r="G79" s="124"/>
      <c r="H79" s="124"/>
      <c r="I79" s="124">
        <v>16000</v>
      </c>
      <c r="J79" s="124"/>
      <c r="K79" s="124"/>
      <c r="L79" s="124"/>
      <c r="M79" s="124"/>
    </row>
    <row r="80" spans="1:13" ht="15">
      <c r="A80" s="252" t="s">
        <v>194</v>
      </c>
      <c r="B80" s="260" t="s">
        <v>64</v>
      </c>
      <c r="C80" s="124"/>
      <c r="D80" s="124"/>
      <c r="E80" s="124"/>
      <c r="F80" s="124"/>
      <c r="G80" s="124"/>
      <c r="H80" s="124"/>
      <c r="I80" s="124"/>
      <c r="J80" s="124"/>
      <c r="K80" s="124"/>
      <c r="L80" s="124"/>
      <c r="M80" s="124"/>
    </row>
    <row r="81" spans="1:13" ht="15">
      <c r="A81" s="248" t="s">
        <v>177</v>
      </c>
      <c r="B81" s="260" t="s">
        <v>178</v>
      </c>
      <c r="C81" s="124">
        <v>78500</v>
      </c>
      <c r="D81" s="124"/>
      <c r="E81" s="124"/>
      <c r="F81" s="124"/>
      <c r="G81" s="124"/>
      <c r="H81" s="124"/>
      <c r="I81" s="124"/>
      <c r="J81" s="124"/>
      <c r="K81" s="124"/>
      <c r="L81" s="124">
        <v>32666.67</v>
      </c>
      <c r="M81" s="124"/>
    </row>
    <row r="82" spans="1:13" ht="15">
      <c r="A82" s="248">
        <v>415</v>
      </c>
      <c r="B82" s="260" t="s">
        <v>179</v>
      </c>
      <c r="C82" s="124"/>
      <c r="D82" s="124"/>
      <c r="E82" s="124"/>
      <c r="F82" s="124">
        <v>-3393</v>
      </c>
      <c r="G82" s="124"/>
      <c r="H82" s="124"/>
      <c r="I82" s="124">
        <f>4000+2500+27099+11142</f>
        <v>44741</v>
      </c>
      <c r="J82" s="124"/>
      <c r="K82" s="124"/>
      <c r="L82" s="124"/>
      <c r="M82" s="124"/>
    </row>
    <row r="83" spans="1:13" ht="15">
      <c r="A83" s="248">
        <v>419</v>
      </c>
      <c r="B83" s="260" t="s">
        <v>180</v>
      </c>
      <c r="C83" s="124"/>
      <c r="D83" s="124"/>
      <c r="E83" s="124"/>
      <c r="F83" s="124">
        <f>7874.67+17620.55+3976.48</f>
        <v>29471.7</v>
      </c>
      <c r="G83" s="124">
        <f>8800+19392.42</f>
        <v>28192.42</v>
      </c>
      <c r="H83" s="124"/>
      <c r="I83" s="124"/>
      <c r="J83" s="124">
        <f>2000+2000+4000</f>
        <v>8000</v>
      </c>
      <c r="K83" s="124">
        <f>15660+15651</f>
        <v>31311</v>
      </c>
      <c r="L83" s="124">
        <f>1500+1500+3069+1500+1500</f>
        <v>9069</v>
      </c>
      <c r="M83" s="124">
        <f>2000+2000+2500+3000+1500+11970</f>
        <v>22970</v>
      </c>
    </row>
    <row r="84" spans="1:13" ht="21" customHeight="1">
      <c r="A84" s="248">
        <v>472</v>
      </c>
      <c r="B84" s="260" t="s">
        <v>315</v>
      </c>
      <c r="C84" s="124"/>
      <c r="D84" s="124"/>
      <c r="E84" s="124"/>
      <c r="F84" s="124"/>
      <c r="G84" s="124"/>
      <c r="H84" s="124"/>
      <c r="I84" s="124"/>
      <c r="J84" s="124"/>
      <c r="K84" s="124"/>
      <c r="L84" s="124"/>
      <c r="M84" s="124">
        <v>97267.86</v>
      </c>
    </row>
    <row r="85" spans="1:13" ht="15">
      <c r="A85" s="248"/>
      <c r="B85" s="260" t="s">
        <v>369</v>
      </c>
      <c r="C85" s="254"/>
      <c r="D85" s="254"/>
      <c r="E85" s="254"/>
      <c r="F85" s="124">
        <v>5390.26</v>
      </c>
      <c r="G85" s="124">
        <v>1756.83</v>
      </c>
      <c r="H85" s="124">
        <v>1756.83</v>
      </c>
      <c r="I85" s="124">
        <v>1756.83</v>
      </c>
      <c r="J85" s="124"/>
      <c r="K85" s="124"/>
      <c r="L85" s="124"/>
      <c r="M85" s="124"/>
    </row>
    <row r="86" spans="1:13" ht="15">
      <c r="A86" s="248"/>
      <c r="B86" s="260" t="s">
        <v>370</v>
      </c>
      <c r="C86" s="255">
        <v>2837.14</v>
      </c>
      <c r="D86" s="124">
        <v>1739.14</v>
      </c>
      <c r="E86" s="124">
        <v>1739.14</v>
      </c>
      <c r="F86" s="124"/>
      <c r="G86" s="124">
        <v>744.29</v>
      </c>
      <c r="H86" s="124">
        <v>744.29</v>
      </c>
      <c r="I86" s="124">
        <v>744.29</v>
      </c>
      <c r="J86" s="124">
        <v>2047.01</v>
      </c>
      <c r="K86" s="124">
        <v>1756.83</v>
      </c>
      <c r="L86" s="124">
        <v>4013.97</v>
      </c>
      <c r="M86" s="124">
        <v>2398.12</v>
      </c>
    </row>
    <row r="87" spans="1:13" ht="15">
      <c r="A87" s="248"/>
      <c r="B87" s="260" t="s">
        <v>371</v>
      </c>
      <c r="C87" s="255">
        <v>728.61</v>
      </c>
      <c r="D87" s="257"/>
      <c r="E87" s="124">
        <v>646.63</v>
      </c>
      <c r="F87" s="124"/>
      <c r="G87" s="124"/>
      <c r="H87" s="124"/>
      <c r="I87" s="124"/>
      <c r="J87" s="124">
        <v>744.29</v>
      </c>
      <c r="K87" s="124">
        <v>744.29</v>
      </c>
      <c r="L87" s="124">
        <v>744.29</v>
      </c>
      <c r="M87" s="124">
        <v>744.29</v>
      </c>
    </row>
    <row r="88" spans="1:13" ht="15">
      <c r="A88" s="248"/>
      <c r="B88" s="260" t="s">
        <v>372</v>
      </c>
      <c r="C88" s="255">
        <v>9281.73</v>
      </c>
      <c r="D88" s="124"/>
      <c r="E88" s="124"/>
      <c r="F88" s="124"/>
      <c r="G88" s="124"/>
      <c r="H88" s="124"/>
      <c r="I88" s="124"/>
      <c r="J88" s="124">
        <f>2259.9+1714.2</f>
        <v>3974.1000000000004</v>
      </c>
      <c r="K88" s="124">
        <v>350</v>
      </c>
      <c r="L88" s="124">
        <f>3281.1-150</f>
        <v>3131.1</v>
      </c>
      <c r="M88" s="124">
        <v>906.9</v>
      </c>
    </row>
    <row r="89" spans="1:13" ht="15">
      <c r="A89" s="248"/>
      <c r="B89" s="260" t="s">
        <v>373</v>
      </c>
      <c r="C89" s="255"/>
      <c r="D89" s="124"/>
      <c r="E89" s="124"/>
      <c r="F89" s="124">
        <v>1352.4</v>
      </c>
      <c r="G89" s="124">
        <v>1352.4</v>
      </c>
      <c r="H89" s="124">
        <v>1352.4</v>
      </c>
      <c r="I89" s="124">
        <v>1352.4</v>
      </c>
      <c r="J89" s="124"/>
      <c r="K89" s="124"/>
      <c r="L89" s="124"/>
      <c r="M89" s="124"/>
    </row>
    <row r="90" spans="1:13" ht="15">
      <c r="A90" s="248"/>
      <c r="B90" s="260" t="s">
        <v>374</v>
      </c>
      <c r="C90" s="255">
        <v>1218.6</v>
      </c>
      <c r="D90" s="124">
        <v>1352.39</v>
      </c>
      <c r="E90" s="124">
        <v>1352.4</v>
      </c>
      <c r="F90" s="124"/>
      <c r="G90" s="124"/>
      <c r="H90" s="124"/>
      <c r="I90" s="124"/>
      <c r="J90" s="124">
        <v>1352.4</v>
      </c>
      <c r="K90" s="124">
        <v>1352.4</v>
      </c>
      <c r="L90" s="124">
        <v>1352.4</v>
      </c>
      <c r="M90" s="124">
        <v>1352.4</v>
      </c>
    </row>
    <row r="91" spans="1:13" ht="15">
      <c r="A91" s="248"/>
      <c r="B91" s="260" t="s">
        <v>375</v>
      </c>
      <c r="C91" s="255"/>
      <c r="D91" s="124"/>
      <c r="E91" s="124"/>
      <c r="F91" s="124"/>
      <c r="G91" s="124"/>
      <c r="H91" s="124"/>
      <c r="I91" s="124"/>
      <c r="J91" s="124"/>
      <c r="K91" s="124"/>
      <c r="L91" s="124"/>
      <c r="M91" s="124"/>
    </row>
    <row r="92" spans="1:13" ht="15">
      <c r="A92" s="248"/>
      <c r="B92" s="260" t="s">
        <v>376</v>
      </c>
      <c r="C92" s="255"/>
      <c r="D92" s="124"/>
      <c r="E92" s="124"/>
      <c r="F92" s="124"/>
      <c r="G92" s="124"/>
      <c r="H92" s="124"/>
      <c r="I92" s="124"/>
      <c r="J92" s="124"/>
      <c r="K92" s="124"/>
      <c r="L92" s="124"/>
      <c r="M92" s="124"/>
    </row>
    <row r="93" spans="1:13" ht="15">
      <c r="A93" s="248"/>
      <c r="B93" s="260" t="s">
        <v>387</v>
      </c>
      <c r="C93" s="255"/>
      <c r="D93" s="124">
        <v>1258.84</v>
      </c>
      <c r="E93" s="124"/>
      <c r="F93" s="124"/>
      <c r="G93" s="124"/>
      <c r="H93" s="124"/>
      <c r="I93" s="124"/>
      <c r="J93" s="124"/>
      <c r="K93" s="124"/>
      <c r="L93" s="124"/>
      <c r="M93" s="124"/>
    </row>
    <row r="94" spans="1:13" ht="15">
      <c r="A94" s="248"/>
      <c r="B94" s="260" t="s">
        <v>377</v>
      </c>
      <c r="C94" s="255"/>
      <c r="D94" s="124"/>
      <c r="E94" s="124"/>
      <c r="F94" s="124">
        <v>229.15</v>
      </c>
      <c r="G94" s="124">
        <v>229.15</v>
      </c>
      <c r="H94" s="124">
        <v>229.15</v>
      </c>
      <c r="I94" s="124">
        <v>229.15</v>
      </c>
      <c r="J94" s="124">
        <f>23284.56+2059.15</f>
        <v>25343.710000000003</v>
      </c>
      <c r="K94" s="124"/>
      <c r="L94" s="124"/>
      <c r="M94" s="124"/>
    </row>
    <row r="95" spans="1:13" ht="15">
      <c r="A95" s="248"/>
      <c r="B95" s="260" t="s">
        <v>378</v>
      </c>
      <c r="C95" s="255">
        <v>207.65</v>
      </c>
      <c r="D95" s="124">
        <v>229.15</v>
      </c>
      <c r="E95" s="124">
        <v>229.15</v>
      </c>
      <c r="F95" s="124"/>
      <c r="G95" s="124">
        <v>2466</v>
      </c>
      <c r="H95" s="124"/>
      <c r="I95" s="124">
        <v>1644</v>
      </c>
      <c r="J95" s="124">
        <v>229.15</v>
      </c>
      <c r="K95" s="124">
        <v>229.15</v>
      </c>
      <c r="L95" s="124">
        <v>229.15</v>
      </c>
      <c r="M95" s="124">
        <v>229.15</v>
      </c>
    </row>
    <row r="96" spans="1:13" ht="15">
      <c r="A96" s="248"/>
      <c r="B96" s="260" t="s">
        <v>379</v>
      </c>
      <c r="C96" s="255">
        <v>1534.4399999999998</v>
      </c>
      <c r="D96" s="124">
        <v>822</v>
      </c>
      <c r="E96" s="124"/>
      <c r="F96" s="124"/>
      <c r="G96" s="124"/>
      <c r="H96" s="124"/>
      <c r="I96" s="124"/>
      <c r="J96" s="124">
        <f>1559.73+454.5</f>
        <v>2014.23</v>
      </c>
      <c r="K96" s="124">
        <v>105</v>
      </c>
      <c r="L96" s="124">
        <v>2583.33</v>
      </c>
      <c r="M96" s="124">
        <f>1004.07+90</f>
        <v>1094.0700000000002</v>
      </c>
    </row>
    <row r="97" spans="1:13" ht="15">
      <c r="A97" s="248"/>
      <c r="B97" s="260" t="s">
        <v>380</v>
      </c>
      <c r="C97" s="255"/>
      <c r="D97" s="124"/>
      <c r="E97" s="124"/>
      <c r="F97" s="124"/>
      <c r="G97" s="124"/>
      <c r="H97" s="124"/>
      <c r="I97" s="124"/>
      <c r="J97" s="124"/>
      <c r="K97" s="124"/>
      <c r="L97" s="124"/>
      <c r="M97" s="124"/>
    </row>
    <row r="98" spans="1:13" ht="22.5">
      <c r="A98" s="248"/>
      <c r="B98" s="260" t="s">
        <v>381</v>
      </c>
      <c r="C98" s="254">
        <v>798.77</v>
      </c>
      <c r="D98" s="124"/>
      <c r="E98" s="124"/>
      <c r="F98" s="124"/>
      <c r="G98" s="124"/>
      <c r="H98" s="124"/>
      <c r="I98" s="124"/>
      <c r="J98" s="124"/>
      <c r="K98" s="124"/>
      <c r="L98" s="124"/>
      <c r="M98" s="124"/>
    </row>
    <row r="99" spans="1:13" ht="22.5">
      <c r="A99" s="248"/>
      <c r="B99" s="260" t="s">
        <v>382</v>
      </c>
      <c r="C99" s="254">
        <v>4543.02</v>
      </c>
      <c r="D99" s="124"/>
      <c r="E99" s="124"/>
      <c r="F99" s="124"/>
      <c r="G99" s="124"/>
      <c r="H99" s="124"/>
      <c r="I99" s="124"/>
      <c r="J99" s="124"/>
      <c r="K99" s="124"/>
      <c r="L99" s="124"/>
      <c r="M99" s="124"/>
    </row>
    <row r="100" spans="1:13" ht="22.5">
      <c r="A100" s="248"/>
      <c r="B100" s="260" t="s">
        <v>388</v>
      </c>
      <c r="C100" s="255">
        <v>116778.89</v>
      </c>
      <c r="D100" s="124"/>
      <c r="E100" s="124"/>
      <c r="F100" s="124"/>
      <c r="G100" s="124"/>
      <c r="H100" s="124"/>
      <c r="I100" s="124"/>
      <c r="J100" s="124"/>
      <c r="K100" s="124"/>
      <c r="L100" s="124"/>
      <c r="M100" s="124"/>
    </row>
    <row r="101" spans="1:13" ht="15">
      <c r="A101" s="248"/>
      <c r="B101" s="260" t="s">
        <v>383</v>
      </c>
      <c r="C101" s="255"/>
      <c r="D101" s="124"/>
      <c r="E101" s="124"/>
      <c r="F101" s="124"/>
      <c r="G101" s="124"/>
      <c r="H101" s="124"/>
      <c r="I101" s="124"/>
      <c r="J101" s="124"/>
      <c r="K101" s="124"/>
      <c r="L101" s="124"/>
      <c r="M101" s="124"/>
    </row>
    <row r="102" spans="1:13" ht="15.75" thickBot="1">
      <c r="A102" s="253"/>
      <c r="B102" s="263" t="s">
        <v>135</v>
      </c>
      <c r="C102" s="264">
        <f aca="true" t="shared" si="1" ref="C102:M102">SUM(C18:C101)</f>
        <v>372795.58</v>
      </c>
      <c r="D102" s="264">
        <f t="shared" si="1"/>
        <v>205372.09000000003</v>
      </c>
      <c r="E102" s="264">
        <f t="shared" si="1"/>
        <v>348176.1400000002</v>
      </c>
      <c r="F102" s="264">
        <f t="shared" si="1"/>
        <v>246585.91999999998</v>
      </c>
      <c r="G102" s="264">
        <f t="shared" si="1"/>
        <v>454287.06</v>
      </c>
      <c r="H102" s="264">
        <f t="shared" si="1"/>
        <v>397075.42000000004</v>
      </c>
      <c r="I102" s="264">
        <f t="shared" si="1"/>
        <v>326514.0900000001</v>
      </c>
      <c r="J102" s="264">
        <f t="shared" si="1"/>
        <v>342993.29</v>
      </c>
      <c r="K102" s="264">
        <f t="shared" si="1"/>
        <v>274190.43000000005</v>
      </c>
      <c r="L102" s="264">
        <f t="shared" si="1"/>
        <v>380823.00999999995</v>
      </c>
      <c r="M102" s="264">
        <f t="shared" si="1"/>
        <v>584035.6200000001</v>
      </c>
    </row>
  </sheetData>
  <sheetProtection/>
  <mergeCells count="14">
    <mergeCell ref="A15:B15"/>
    <mergeCell ref="A9:B9"/>
    <mergeCell ref="A7:D7"/>
    <mergeCell ref="A8:D8"/>
    <mergeCell ref="A10:D10"/>
    <mergeCell ref="A11:D11"/>
    <mergeCell ref="A12:D12"/>
    <mergeCell ref="A14:D14"/>
    <mergeCell ref="A1:D1"/>
    <mergeCell ref="A2:D2"/>
    <mergeCell ref="A3:D3"/>
    <mergeCell ref="A4:D4"/>
    <mergeCell ref="A5:D5"/>
    <mergeCell ref="A6:D6"/>
  </mergeCells>
  <printOptions/>
  <pageMargins left="0.9055118110236221" right="0.7086614173228347" top="1.5748031496062993" bottom="1.535433070866142" header="0.31496062992125984" footer="0.31496062992125984"/>
  <pageSetup horizontalDpi="600" verticalDpi="600" orientation="landscape" scale="70" r:id="rId2"/>
  <headerFooter>
    <oddFooter>&amp;CPágina &amp;P</oddFooter>
  </headerFooter>
  <ignoredErrors>
    <ignoredError sqref="A26:A94" numberStoredAsText="1"/>
    <ignoredError sqref="B20:J25 B95:J104 C26:J94 K21:M23" formula="1"/>
    <ignoredError sqref="B26:B94" numberStoredAsText="1" formula="1"/>
  </ignoredErrors>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79" t="s">
        <v>214</v>
      </c>
      <c r="B1" s="279"/>
      <c r="C1" s="279"/>
    </row>
    <row r="4" spans="1:3" ht="15">
      <c r="A4" s="278" t="s">
        <v>215</v>
      </c>
      <c r="B4" s="278"/>
      <c r="C4" s="278"/>
    </row>
    <row r="5" spans="1:3" ht="15">
      <c r="A5" s="278" t="s">
        <v>214</v>
      </c>
      <c r="B5" s="278"/>
      <c r="C5" s="278"/>
    </row>
    <row r="6" spans="1:3" ht="15">
      <c r="A6" s="278" t="s">
        <v>216</v>
      </c>
      <c r="B6" s="278"/>
      <c r="C6" s="278"/>
    </row>
    <row r="7" spans="1:3" ht="15">
      <c r="A7" s="278" t="s">
        <v>21</v>
      </c>
      <c r="B7" s="278"/>
      <c r="C7" s="278"/>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80" t="s">
        <v>235</v>
      </c>
      <c r="B1" s="280"/>
      <c r="C1" s="280"/>
      <c r="D1" s="280"/>
      <c r="E1" s="280"/>
      <c r="F1" s="280"/>
      <c r="G1" s="280"/>
      <c r="H1" s="280"/>
      <c r="I1" s="280"/>
      <c r="J1" s="280"/>
      <c r="K1" s="280"/>
      <c r="L1" s="280"/>
      <c r="M1" s="280"/>
    </row>
    <row r="3" spans="2:13" ht="15">
      <c r="B3" s="281" t="s">
        <v>235</v>
      </c>
      <c r="C3" s="281"/>
      <c r="D3" s="281"/>
      <c r="E3" s="281"/>
      <c r="F3" s="281"/>
      <c r="G3" s="281"/>
      <c r="H3" s="281"/>
      <c r="I3" s="281"/>
      <c r="J3" s="281"/>
      <c r="K3" s="281"/>
      <c r="L3" s="281"/>
      <c r="M3" s="281"/>
    </row>
    <row r="4" spans="2:13" ht="14.25">
      <c r="B4" s="27"/>
      <c r="C4" s="27"/>
      <c r="D4" s="27"/>
      <c r="E4" s="27"/>
      <c r="F4" s="27"/>
      <c r="G4" s="27"/>
      <c r="H4" s="27"/>
      <c r="I4" s="27"/>
      <c r="J4" s="27"/>
      <c r="K4" s="27"/>
      <c r="L4" s="27"/>
      <c r="M4" s="27"/>
    </row>
    <row r="5" spans="2:13" ht="15">
      <c r="B5" s="2"/>
      <c r="C5" s="2"/>
      <c r="D5" s="282" t="s">
        <v>236</v>
      </c>
      <c r="E5" s="282"/>
      <c r="F5" s="2"/>
      <c r="G5" s="2"/>
      <c r="H5" s="282" t="s">
        <v>237</v>
      </c>
      <c r="I5" s="282"/>
      <c r="J5" s="282"/>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93" t="s">
        <v>263</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row>
    <row r="5" spans="1:45" ht="22.5">
      <c r="A5" s="293" t="s">
        <v>264</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94" t="s">
        <v>265</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row>
    <row r="8" spans="1:45" s="44" customFormat="1" ht="27.75" customHeight="1">
      <c r="A8" s="42" t="s">
        <v>266</v>
      </c>
      <c r="B8" s="291" t="s">
        <v>267</v>
      </c>
      <c r="C8" s="43" t="s">
        <v>268</v>
      </c>
      <c r="D8" s="73"/>
      <c r="E8" s="73"/>
      <c r="F8" s="285" t="s">
        <v>269</v>
      </c>
      <c r="G8" s="287" t="s">
        <v>289</v>
      </c>
      <c r="H8" s="289" t="s">
        <v>3</v>
      </c>
      <c r="I8" s="285" t="s">
        <v>270</v>
      </c>
      <c r="J8" s="287" t="s">
        <v>290</v>
      </c>
      <c r="K8" s="289" t="s">
        <v>3</v>
      </c>
      <c r="L8" s="285" t="s">
        <v>271</v>
      </c>
      <c r="M8" s="287" t="s">
        <v>291</v>
      </c>
      <c r="N8" s="289" t="s">
        <v>3</v>
      </c>
      <c r="O8" s="285" t="s">
        <v>272</v>
      </c>
      <c r="P8" s="287" t="s">
        <v>292</v>
      </c>
      <c r="Q8" s="289" t="s">
        <v>3</v>
      </c>
      <c r="R8" s="285" t="s">
        <v>273</v>
      </c>
      <c r="S8" s="287" t="s">
        <v>293</v>
      </c>
      <c r="T8" s="289" t="s">
        <v>3</v>
      </c>
      <c r="U8" s="285" t="s">
        <v>274</v>
      </c>
      <c r="V8" s="287" t="s">
        <v>294</v>
      </c>
      <c r="W8" s="289" t="s">
        <v>3</v>
      </c>
      <c r="X8" s="285" t="s">
        <v>275</v>
      </c>
      <c r="Y8" s="287" t="s">
        <v>295</v>
      </c>
      <c r="Z8" s="289" t="s">
        <v>3</v>
      </c>
      <c r="AA8" s="285" t="s">
        <v>212</v>
      </c>
      <c r="AB8" s="287" t="s">
        <v>296</v>
      </c>
      <c r="AC8" s="289" t="s">
        <v>3</v>
      </c>
      <c r="AD8" s="285" t="s">
        <v>262</v>
      </c>
      <c r="AE8" s="287" t="s">
        <v>297</v>
      </c>
      <c r="AF8" s="289" t="s">
        <v>3</v>
      </c>
      <c r="AG8" s="285" t="s">
        <v>276</v>
      </c>
      <c r="AH8" s="287" t="s">
        <v>298</v>
      </c>
      <c r="AI8" s="289" t="s">
        <v>3</v>
      </c>
      <c r="AJ8" s="285" t="s">
        <v>277</v>
      </c>
      <c r="AK8" s="287" t="s">
        <v>299</v>
      </c>
      <c r="AL8" s="289" t="s">
        <v>3</v>
      </c>
      <c r="AM8" s="285" t="s">
        <v>278</v>
      </c>
      <c r="AN8" s="287" t="s">
        <v>300</v>
      </c>
      <c r="AO8" s="289" t="s">
        <v>3</v>
      </c>
      <c r="AP8" s="285" t="s">
        <v>301</v>
      </c>
      <c r="AQ8" s="287" t="s">
        <v>302</v>
      </c>
      <c r="AR8" s="289" t="s">
        <v>3</v>
      </c>
      <c r="AS8" s="283" t="s">
        <v>303</v>
      </c>
    </row>
    <row r="9" spans="1:45" s="44" customFormat="1" ht="15" thickBot="1">
      <c r="A9" s="57" t="s">
        <v>279</v>
      </c>
      <c r="B9" s="292"/>
      <c r="C9" s="58" t="s">
        <v>280</v>
      </c>
      <c r="D9" s="74" t="s">
        <v>304</v>
      </c>
      <c r="E9" s="74" t="s">
        <v>270</v>
      </c>
      <c r="F9" s="286"/>
      <c r="G9" s="288"/>
      <c r="H9" s="290"/>
      <c r="I9" s="286"/>
      <c r="J9" s="288"/>
      <c r="K9" s="290"/>
      <c r="L9" s="286"/>
      <c r="M9" s="288"/>
      <c r="N9" s="290"/>
      <c r="O9" s="286"/>
      <c r="P9" s="288"/>
      <c r="Q9" s="290"/>
      <c r="R9" s="286"/>
      <c r="S9" s="288"/>
      <c r="T9" s="290"/>
      <c r="U9" s="286"/>
      <c r="V9" s="288"/>
      <c r="W9" s="290"/>
      <c r="X9" s="286"/>
      <c r="Y9" s="288"/>
      <c r="Z9" s="290"/>
      <c r="AA9" s="286"/>
      <c r="AB9" s="288"/>
      <c r="AC9" s="290"/>
      <c r="AD9" s="286"/>
      <c r="AE9" s="288"/>
      <c r="AF9" s="290"/>
      <c r="AG9" s="286"/>
      <c r="AH9" s="288"/>
      <c r="AI9" s="290"/>
      <c r="AJ9" s="286"/>
      <c r="AK9" s="288"/>
      <c r="AL9" s="290"/>
      <c r="AM9" s="286"/>
      <c r="AN9" s="288"/>
      <c r="AO9" s="290"/>
      <c r="AP9" s="286"/>
      <c r="AQ9" s="288"/>
      <c r="AR9" s="290"/>
      <c r="AS9" s="284"/>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4:AS4"/>
    <mergeCell ref="A5:AS5"/>
    <mergeCell ref="A7:AS7"/>
    <mergeCell ref="AJ8:AJ9"/>
    <mergeCell ref="AM8:AM9"/>
    <mergeCell ref="W8:W9"/>
    <mergeCell ref="Y8:Y9"/>
    <mergeCell ref="AC8:AC9"/>
    <mergeCell ref="AA8:AA9"/>
    <mergeCell ref="AE8:AE9"/>
    <mergeCell ref="AF8:AF9"/>
    <mergeCell ref="AO8:AO9"/>
    <mergeCell ref="AQ8:AQ9"/>
    <mergeCell ref="AH8:AH9"/>
    <mergeCell ref="AG8:AG9"/>
    <mergeCell ref="AI8:AI9"/>
    <mergeCell ref="AL8:AL9"/>
    <mergeCell ref="B8:B9"/>
    <mergeCell ref="J8:J9"/>
    <mergeCell ref="H8:H9"/>
    <mergeCell ref="Z8:Z9"/>
    <mergeCell ref="M8:M9"/>
    <mergeCell ref="N8:N9"/>
    <mergeCell ref="P8:P9"/>
    <mergeCell ref="Q8:Q9"/>
    <mergeCell ref="F8:F9"/>
    <mergeCell ref="I8:I9"/>
    <mergeCell ref="G8:G9"/>
    <mergeCell ref="K8:K9"/>
    <mergeCell ref="T8:T9"/>
    <mergeCell ref="S8:S9"/>
    <mergeCell ref="R8:R9"/>
    <mergeCell ref="L8:L9"/>
    <mergeCell ref="O8:O9"/>
    <mergeCell ref="AS8:AS9"/>
    <mergeCell ref="U8:U9"/>
    <mergeCell ref="X8:X9"/>
    <mergeCell ref="AK8:AK9"/>
    <mergeCell ref="AD8:AD9"/>
    <mergeCell ref="AB8:AB9"/>
    <mergeCell ref="AR8:AR9"/>
    <mergeCell ref="AP8:AP9"/>
    <mergeCell ref="V8:V9"/>
    <mergeCell ref="AN8:AN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96" t="s">
        <v>51</v>
      </c>
      <c r="B1" s="296"/>
      <c r="C1" s="296"/>
      <c r="D1" s="296"/>
      <c r="E1" s="296"/>
      <c r="F1" s="296"/>
      <c r="G1" s="296"/>
      <c r="H1" s="296"/>
      <c r="I1" s="296"/>
      <c r="J1" s="296"/>
      <c r="K1" s="296"/>
      <c r="L1" s="296"/>
      <c r="M1" s="296"/>
      <c r="N1" s="296"/>
      <c r="O1" s="296"/>
    </row>
    <row r="2" spans="1:15" ht="12.75">
      <c r="A2" s="295" t="s">
        <v>1</v>
      </c>
      <c r="B2" s="295"/>
      <c r="C2" s="295"/>
      <c r="D2" s="295"/>
      <c r="E2" s="295"/>
      <c r="F2" s="295"/>
      <c r="G2" s="295"/>
      <c r="H2" s="295"/>
      <c r="I2" s="295"/>
      <c r="J2" s="295"/>
      <c r="K2" s="295"/>
      <c r="L2" s="295"/>
      <c r="M2" s="295"/>
      <c r="N2" s="295"/>
      <c r="O2" s="295"/>
    </row>
    <row r="3" spans="1:15" ht="12.75">
      <c r="A3" s="295" t="s">
        <v>51</v>
      </c>
      <c r="B3" s="295"/>
      <c r="C3" s="295"/>
      <c r="D3" s="295"/>
      <c r="E3" s="295"/>
      <c r="F3" s="295"/>
      <c r="G3" s="295"/>
      <c r="H3" s="295"/>
      <c r="I3" s="295"/>
      <c r="J3" s="295"/>
      <c r="K3" s="295"/>
      <c r="L3" s="295"/>
      <c r="M3" s="295"/>
      <c r="N3" s="295"/>
      <c r="O3" s="295"/>
    </row>
    <row r="4" spans="1:15" ht="12.75">
      <c r="A4" s="295" t="s">
        <v>310</v>
      </c>
      <c r="B4" s="295"/>
      <c r="C4" s="295"/>
      <c r="D4" s="295"/>
      <c r="E4" s="295"/>
      <c r="F4" s="295"/>
      <c r="G4" s="295"/>
      <c r="H4" s="295"/>
      <c r="I4" s="295"/>
      <c r="J4" s="295"/>
      <c r="K4" s="295"/>
      <c r="L4" s="295"/>
      <c r="M4" s="295"/>
      <c r="N4" s="295"/>
      <c r="O4" s="295"/>
    </row>
    <row r="5" spans="1:15" ht="12.75">
      <c r="A5" s="295" t="s">
        <v>21</v>
      </c>
      <c r="B5" s="295"/>
      <c r="C5" s="295"/>
      <c r="D5" s="295"/>
      <c r="E5" s="295"/>
      <c r="F5" s="295"/>
      <c r="G5" s="295"/>
      <c r="H5" s="295"/>
      <c r="I5" s="295"/>
      <c r="J5" s="295"/>
      <c r="K5" s="295"/>
      <c r="L5" s="295"/>
      <c r="M5" s="295"/>
      <c r="N5" s="295"/>
      <c r="O5" s="295"/>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FINANCIERO</cp:lastModifiedBy>
  <cp:lastPrinted>2024-02-21T21:52:28Z</cp:lastPrinted>
  <dcterms:created xsi:type="dcterms:W3CDTF">2006-08-31T16:51:41Z</dcterms:created>
  <dcterms:modified xsi:type="dcterms:W3CDTF">2024-02-21T21:52:30Z</dcterms:modified>
  <cp:category/>
  <cp:version/>
  <cp:contentType/>
  <cp:contentStatus/>
</cp:coreProperties>
</file>