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INANCIERO\Desktop\acceso 2024\JUNIO\"/>
    </mc:Choice>
  </mc:AlternateContent>
  <xr:revisionPtr revIDLastSave="0" documentId="13_ncr:1_{D61B17A6-D495-4FFB-8D83-2C9EFF91E97C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INGRESOS Y EGRESOS" sheetId="1" r:id="rId1"/>
    <sheet name="TRANSFERENCIA Y MODIFICACIONES" sheetId="2" r:id="rId2"/>
  </sheets>
  <definedNames>
    <definedName name="_xlnm.Print_Area" localSheetId="0">'INGRESOS Y EGRESOS'!$A$38:$N$139</definedName>
    <definedName name="_xlnm.Print_Area" localSheetId="1">'TRANSFERENCIA Y MODIFICACIONES'!$A$35:$G$137</definedName>
    <definedName name="_xlnm.Print_Titles" localSheetId="0">'INGRESOS Y EGRESOS'!$54:$56</definedName>
    <definedName name="_xlnm.Print_Titles" localSheetId="1">'TRANSFERENCIA Y MODIFICACIONES'!$51:$53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7" i="1" l="1"/>
  <c r="N136" i="1"/>
  <c r="N135" i="1"/>
  <c r="N134" i="1"/>
  <c r="N133" i="1"/>
  <c r="N131" i="1"/>
  <c r="N130" i="1"/>
  <c r="N129" i="1"/>
  <c r="N128" i="1"/>
  <c r="N127" i="1"/>
  <c r="N126" i="1"/>
  <c r="N125" i="1"/>
  <c r="N123" i="1"/>
  <c r="N122" i="1"/>
  <c r="N121" i="1"/>
  <c r="N118" i="1"/>
  <c r="N117" i="1"/>
  <c r="N116" i="1"/>
  <c r="N115" i="1"/>
  <c r="N114" i="1"/>
  <c r="N113" i="1"/>
  <c r="N112" i="1"/>
  <c r="N111" i="1"/>
  <c r="N108" i="1"/>
  <c r="N107" i="1"/>
  <c r="N106" i="1"/>
  <c r="N104" i="1"/>
  <c r="N103" i="1"/>
  <c r="N101" i="1"/>
  <c r="N100" i="1"/>
  <c r="N99" i="1"/>
  <c r="N95" i="1"/>
  <c r="N91" i="1"/>
  <c r="N90" i="1"/>
  <c r="N86" i="1"/>
  <c r="N84" i="1"/>
  <c r="N83" i="1"/>
  <c r="N82" i="1"/>
  <c r="N80" i="1"/>
  <c r="N79" i="1"/>
  <c r="N78" i="1"/>
  <c r="N77" i="1"/>
  <c r="N75" i="1"/>
  <c r="N72" i="1"/>
  <c r="N71" i="1"/>
  <c r="N70" i="1"/>
  <c r="N69" i="1"/>
  <c r="N67" i="1"/>
  <c r="N65" i="1"/>
  <c r="N63" i="1"/>
  <c r="N62" i="1"/>
  <c r="N61" i="1"/>
  <c r="N59" i="1"/>
  <c r="M132" i="1"/>
  <c r="M119" i="1"/>
  <c r="M102" i="1"/>
  <c r="M96" i="1"/>
  <c r="M94" i="1"/>
  <c r="M93" i="1"/>
  <c r="M92" i="1"/>
  <c r="M88" i="1"/>
  <c r="M74" i="1"/>
  <c r="M68" i="1"/>
  <c r="M60" i="1"/>
  <c r="M58" i="1"/>
  <c r="M57" i="1"/>
  <c r="M138" i="1" s="1"/>
  <c r="M34" i="1"/>
  <c r="L132" i="1"/>
  <c r="L110" i="1"/>
  <c r="N110" i="1" s="1"/>
  <c r="L109" i="1"/>
  <c r="N109" i="1" s="1"/>
  <c r="L102" i="1"/>
  <c r="L96" i="1"/>
  <c r="L94" i="1"/>
  <c r="L92" i="1"/>
  <c r="L88" i="1"/>
  <c r="L87" i="1"/>
  <c r="L79" i="1"/>
  <c r="L74" i="1"/>
  <c r="L73" i="1"/>
  <c r="N73" i="1" s="1"/>
  <c r="L64" i="1"/>
  <c r="N64" i="1" s="1"/>
  <c r="L58" i="1"/>
  <c r="L57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L34" i="1"/>
  <c r="L21" i="1"/>
  <c r="K119" i="1"/>
  <c r="K105" i="1"/>
  <c r="K102" i="1"/>
  <c r="K97" i="1"/>
  <c r="N97" i="1" s="1"/>
  <c r="K96" i="1"/>
  <c r="K94" i="1"/>
  <c r="K92" i="1"/>
  <c r="K89" i="1"/>
  <c r="N89" i="1" s="1"/>
  <c r="K88" i="1"/>
  <c r="K85" i="1"/>
  <c r="N85" i="1" s="1"/>
  <c r="K81" i="1"/>
  <c r="N81" i="1" s="1"/>
  <c r="K79" i="1"/>
  <c r="K76" i="1"/>
  <c r="N76" i="1" s="1"/>
  <c r="K74" i="1"/>
  <c r="K68" i="1"/>
  <c r="K60" i="1"/>
  <c r="N60" i="1" s="1"/>
  <c r="K58" i="1"/>
  <c r="K57" i="1"/>
  <c r="K34" i="1"/>
  <c r="J119" i="1"/>
  <c r="J105" i="1"/>
  <c r="N105" i="1" s="1"/>
  <c r="J102" i="1"/>
  <c r="J96" i="1"/>
  <c r="J94" i="1"/>
  <c r="J93" i="1"/>
  <c r="N93" i="1" s="1"/>
  <c r="J92" i="1"/>
  <c r="J88" i="1"/>
  <c r="J87" i="1"/>
  <c r="J79" i="1"/>
  <c r="J74" i="1"/>
  <c r="J68" i="1"/>
  <c r="N68" i="1" s="1"/>
  <c r="J67" i="1"/>
  <c r="J66" i="1"/>
  <c r="J58" i="1"/>
  <c r="J57" i="1"/>
  <c r="J34" i="1"/>
  <c r="I120" i="1"/>
  <c r="N120" i="1" s="1"/>
  <c r="I102" i="1"/>
  <c r="I96" i="1"/>
  <c r="I94" i="1"/>
  <c r="I92" i="1"/>
  <c r="N92" i="1" s="1"/>
  <c r="I88" i="1"/>
  <c r="I74" i="1"/>
  <c r="I58" i="1"/>
  <c r="I57" i="1"/>
  <c r="H96" i="1"/>
  <c r="N96" i="1" s="1"/>
  <c r="H98" i="1"/>
  <c r="N98" i="1" s="1"/>
  <c r="H102" i="1"/>
  <c r="N102" i="1" s="1"/>
  <c r="H107" i="1"/>
  <c r="H124" i="1"/>
  <c r="N124" i="1" s="1"/>
  <c r="H132" i="1"/>
  <c r="N132" i="1" s="1"/>
  <c r="I34" i="1"/>
  <c r="F136" i="2"/>
  <c r="E136" i="2"/>
  <c r="D136" i="2"/>
  <c r="C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A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136" i="2" s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H119" i="1"/>
  <c r="N119" i="1" s="1"/>
  <c r="H94" i="1"/>
  <c r="N94" i="1" s="1"/>
  <c r="H91" i="1"/>
  <c r="H88" i="1"/>
  <c r="N88" i="1" s="1"/>
  <c r="H87" i="1"/>
  <c r="N87" i="1" s="1"/>
  <c r="H74" i="1"/>
  <c r="N74" i="1" s="1"/>
  <c r="H67" i="1"/>
  <c r="H66" i="1"/>
  <c r="N66" i="1" s="1"/>
  <c r="H58" i="1"/>
  <c r="N58" i="1" s="1"/>
  <c r="H57" i="1"/>
  <c r="N57" i="1" s="1"/>
  <c r="O30" i="1"/>
  <c r="N20" i="1"/>
  <c r="O29" i="1"/>
  <c r="O28" i="1"/>
  <c r="H34" i="1"/>
  <c r="G31" i="2"/>
  <c r="G29" i="2"/>
  <c r="G28" i="2"/>
  <c r="G27" i="2"/>
  <c r="G26" i="2"/>
  <c r="G25" i="2"/>
  <c r="G24" i="2"/>
  <c r="G23" i="2"/>
  <c r="G22" i="2"/>
  <c r="G21" i="2"/>
  <c r="G20" i="2"/>
  <c r="G19" i="2"/>
  <c r="G18" i="2"/>
  <c r="N138" i="1" l="1"/>
  <c r="L138" i="1"/>
  <c r="K138" i="1"/>
  <c r="I138" i="1"/>
  <c r="J138" i="1"/>
  <c r="H138" i="1"/>
  <c r="O21" i="1"/>
  <c r="O25" i="1"/>
  <c r="O24" i="1"/>
  <c r="O32" i="1"/>
  <c r="O23" i="1"/>
  <c r="O22" i="1"/>
  <c r="O27" i="1"/>
  <c r="O31" i="1"/>
  <c r="O26" i="1"/>
  <c r="O33" i="1"/>
  <c r="O34" i="1" l="1"/>
  <c r="N34" i="1"/>
  <c r="F138" i="1"/>
  <c r="E138" i="1"/>
  <c r="D138" i="1"/>
  <c r="C32" i="2"/>
  <c r="F34" i="1"/>
  <c r="E34" i="1"/>
  <c r="D34" i="1"/>
  <c r="F32" i="2"/>
  <c r="E32" i="2"/>
  <c r="D32" i="2"/>
  <c r="C34" i="1" l="1"/>
  <c r="C138" i="1"/>
  <c r="A91" i="1"/>
  <c r="G34" i="1" l="1"/>
  <c r="G32" i="2"/>
  <c r="G138" i="1"/>
</calcChain>
</file>

<file path=xl/sharedStrings.xml><?xml version="1.0" encoding="utf-8"?>
<sst xmlns="http://schemas.openxmlformats.org/spreadsheetml/2006/main" count="330" uniqueCount="149">
  <si>
    <t>Cifras expresadas en quetzales</t>
  </si>
  <si>
    <t>MODIFICACIONES</t>
  </si>
  <si>
    <t>INGRESOS</t>
  </si>
  <si>
    <t xml:space="preserve">AUMENTO </t>
  </si>
  <si>
    <t>DISMINUCION</t>
  </si>
  <si>
    <t>VIGENTE</t>
  </si>
  <si>
    <t>ENERO</t>
  </si>
  <si>
    <t>SALDOS INICIALES</t>
  </si>
  <si>
    <t>Asignaciones de C.D.A.G.</t>
  </si>
  <si>
    <t>Ayudas extraordinaria C.D.A.G</t>
  </si>
  <si>
    <t>Ayuda de COG</t>
  </si>
  <si>
    <t>Inscripciones, cuotas afiliaciones</t>
  </si>
  <si>
    <t>Intereses de Bancos</t>
  </si>
  <si>
    <t>Ingresos por ajustes y/o reintegros</t>
  </si>
  <si>
    <t>TOTAL DE INGRESOS</t>
  </si>
  <si>
    <t>Ejecucion Presupuestaria de Egresos</t>
  </si>
  <si>
    <t>SERVICIOS PERSONALES</t>
  </si>
  <si>
    <t>PERSONAL PERMANENTE</t>
  </si>
  <si>
    <t>COMPLEMENTO ESPECIFICO AL PERSONAL PERMANENTE</t>
  </si>
  <si>
    <t>CUOTA PATRONAL IGSS</t>
  </si>
  <si>
    <t>DIETAS</t>
  </si>
  <si>
    <t>GASTOS DE REPRESENTACION EN EL INTERIOS</t>
  </si>
  <si>
    <t>AGUINALDOS</t>
  </si>
  <si>
    <t>BONIFICACION ANUAL (BONO 14)</t>
  </si>
  <si>
    <t>OTRAS PRESTACIONES</t>
  </si>
  <si>
    <t>SERVICIOS NO PERSONALES</t>
  </si>
  <si>
    <t>ENERGIA ELECTRICA</t>
  </si>
  <si>
    <t>AGUA</t>
  </si>
  <si>
    <t>TELEFONIA</t>
  </si>
  <si>
    <t>CORREOS Y TELEGRAFOS</t>
  </si>
  <si>
    <t>EXTRACCION DE BASURA Y DEST. DESECHOS SOLIDOS</t>
  </si>
  <si>
    <t>DIVULGACION E INFORMACION</t>
  </si>
  <si>
    <t>VIATICOS EN EL EXTERIOR</t>
  </si>
  <si>
    <t>TRANSPORTE DE PERSONAS</t>
  </si>
  <si>
    <t>FLETES</t>
  </si>
  <si>
    <t>ARRENDAMIENTO DE EDIFICIOS Y LOCALES</t>
  </si>
  <si>
    <t>ARRENDAMIENTO DE TIERRAS Y TERRENOS</t>
  </si>
  <si>
    <t>ARRENDAMIENTO DE MAQUINAS Y EQUIPO DE OFICINA</t>
  </si>
  <si>
    <t>ARRENDAMIENTO DE MEDIOS DE TRANSPORTE</t>
  </si>
  <si>
    <t>MANTENIM. Y REP. DE EQUIP EDUC Y RECRE.</t>
  </si>
  <si>
    <t>MANTENIM. Y REPARACION EQUIPO COMPUTO</t>
  </si>
  <si>
    <t>SERVICIOS JURIDICOS</t>
  </si>
  <si>
    <t>SERVICIOS DE CAPACITACION</t>
  </si>
  <si>
    <t>SERVICIOS DE INFORMATICA Y SISTEMAS COMPUTARIZADOS</t>
  </si>
  <si>
    <t>OTROS ESTUDIOS Y/O SERVICIOS</t>
  </si>
  <si>
    <t>SERVICIOS DE ATENCION Y PROTOCOLOS</t>
  </si>
  <si>
    <t>SERVICIOS DE VIGILANCIA</t>
  </si>
  <si>
    <t>OTROS SERVICIOS NO PERSONALES</t>
  </si>
  <si>
    <t>MATERIALES Y SUMINISTROS</t>
  </si>
  <si>
    <t>ALIMENTOS PARA PERSONAS</t>
  </si>
  <si>
    <t>PRENDAS DE VESTIR (UNIFORMES)</t>
  </si>
  <si>
    <t>PAPEL DE ESCRITORIO</t>
  </si>
  <si>
    <t>PRODUCTOS DE PAPEL O CARTON</t>
  </si>
  <si>
    <t>ESPECIES TIMBRES Y VALORES</t>
  </si>
  <si>
    <t>COMBUSTIBLES Y LUBRICANTES</t>
  </si>
  <si>
    <t>PRODUCTOS MEDICINALES Y FARMACEUTICOS</t>
  </si>
  <si>
    <t>TINTES, PINTURAS Y COLORANTES</t>
  </si>
  <si>
    <t>PRODUCTOS PLASTICOS, NYLON, VINIL Y P.V.C.</t>
  </si>
  <si>
    <t>PRODUCTOS DE METAL</t>
  </si>
  <si>
    <t>UTILES DE OFICINA</t>
  </si>
  <si>
    <t>UTILES DE LIMPIEZA Y PRODUCTOS SANITARIOS</t>
  </si>
  <si>
    <t xml:space="preserve">UTILES DEPORTIVOS Y RECREATIVOS </t>
  </si>
  <si>
    <t>OTROS MATERIALES Y SUMINISTROS</t>
  </si>
  <si>
    <t>PROPIEDAD, PLANTA Y EQUIPO</t>
  </si>
  <si>
    <t>EQUIPO DE OFICINA</t>
  </si>
  <si>
    <t>EQUIPO DE COMPUTO</t>
  </si>
  <si>
    <t>TRANSFERENCIAS CORRIENTES</t>
  </si>
  <si>
    <t>INDEMNIZACIONES AL PERSONAL</t>
  </si>
  <si>
    <t>VACACIONES PAGADAS POR RETIRO</t>
  </si>
  <si>
    <t>OTRAS TRANSFERENCIAS A PERSONAS</t>
  </si>
  <si>
    <t>TRANSFERENCIAS A ORGANISMOS E INSTITUCIONES INTERNACIONALES</t>
  </si>
  <si>
    <t>TOTAL DE EGRESOS</t>
  </si>
  <si>
    <t>19 CALLE 11-32 COLONIA BOSQUES DE MARISCAL ZONA 11</t>
  </si>
  <si>
    <t>HORARIO DE ATENCIÓN A CLIENTE: 07:00 a 15:00 hrs</t>
  </si>
  <si>
    <t>(502) 2474-4531/ 2474-4777</t>
  </si>
  <si>
    <t xml:space="preserve">Ley de Acceso a la Informacion Publica </t>
  </si>
  <si>
    <t>Capitulo segundo</t>
  </si>
  <si>
    <t>NUMERO 7</t>
  </si>
  <si>
    <t>ACUMULADO</t>
  </si>
  <si>
    <t>ASOCIACION NACIONAL DE SURF DE GUATEMALA -ASOSURF-</t>
  </si>
  <si>
    <t>EQUIPO EDUCACIONAL, CULTURAL Y RECREATIVO</t>
  </si>
  <si>
    <t xml:space="preserve"> 071</t>
  </si>
  <si>
    <t>079</t>
  </si>
  <si>
    <t>1</t>
  </si>
  <si>
    <t xml:space="preserve"> 141</t>
  </si>
  <si>
    <t xml:space="preserve"> 142</t>
  </si>
  <si>
    <t>MANTENIMIENTO Y REPARACION DE MAQUINARIAY EQUIPO</t>
  </si>
  <si>
    <t xml:space="preserve"> 168</t>
  </si>
  <si>
    <t>MANTENIM. DE OTRAS MAQUINAS Y EQUIPO</t>
  </si>
  <si>
    <t>SERVICIOS MEDICO - SANITARIOS</t>
  </si>
  <si>
    <t>PRIMAS Y GASTOS DE SEGUROS Y FIANZAS</t>
  </si>
  <si>
    <t xml:space="preserve"> 194</t>
  </si>
  <si>
    <t>OTRAS COMIS. Y GASTOS BANCARIOS</t>
  </si>
  <si>
    <t>IMPUESTOS, DERECHOS Y TASAS</t>
  </si>
  <si>
    <t>2</t>
  </si>
  <si>
    <t xml:space="preserve"> 233</t>
  </si>
  <si>
    <t xml:space="preserve"> 241</t>
  </si>
  <si>
    <t xml:space="preserve"> 243</t>
  </si>
  <si>
    <t xml:space="preserve"> 267</t>
  </si>
  <si>
    <t xml:space="preserve"> 291</t>
  </si>
  <si>
    <t xml:space="preserve"> 292</t>
  </si>
  <si>
    <t xml:space="preserve"> 299</t>
  </si>
  <si>
    <t>3</t>
  </si>
  <si>
    <t>4</t>
  </si>
  <si>
    <t xml:space="preserve"> 413</t>
  </si>
  <si>
    <t>CUOTA LABORAL IGSS POR PAGAR E IMPUESTOS POR PAGAR</t>
  </si>
  <si>
    <t>CUADRO DE TRANSFERENCIA Y MODIFICACIONES</t>
  </si>
  <si>
    <t>Presupuesto CDAG/OTRAS FUENTES</t>
  </si>
  <si>
    <t>AMPLIACION OTRAS FUENTES</t>
  </si>
  <si>
    <t>Cuota Laboral IGSS por Pagar</t>
  </si>
  <si>
    <t>Impuestos por pagar</t>
  </si>
  <si>
    <t xml:space="preserve">Retención ISR Servicios Profesionales </t>
  </si>
  <si>
    <t xml:space="preserve">Retención ISR Servicios Laborales </t>
  </si>
  <si>
    <t>Retencion ISR Sorteos</t>
  </si>
  <si>
    <t xml:space="preserve">Retención ISR a personas no recidentes </t>
  </si>
  <si>
    <t xml:space="preserve">Retención IGSS Laboral </t>
  </si>
  <si>
    <t>Devolucion de ISR</t>
  </si>
  <si>
    <t>Devoluciones a Comité Olimpico Guatemalteco</t>
  </si>
  <si>
    <t>Fianza de Fidelidad</t>
  </si>
  <si>
    <t>Timbres Fiscales</t>
  </si>
  <si>
    <t>NO AFECTA PRESUPUESTO (BONO 14 YA REBAJADO DEL RENGLON 072)</t>
  </si>
  <si>
    <t>NO AFECTA PRESUPUESTO (AGUINALDO YA REBAJADO DEL RENGLON 071)</t>
  </si>
  <si>
    <t>Impresión y Encuadernacion</t>
  </si>
  <si>
    <t>Apoyo  para juegos deportivos Nacionales</t>
  </si>
  <si>
    <t>Cuentas por pagar</t>
  </si>
  <si>
    <t xml:space="preserve"> LIBROS REVISTA Y PERIODICOS</t>
  </si>
  <si>
    <t>Prestaciones Laborales</t>
  </si>
  <si>
    <t xml:space="preserve">Bono 14 </t>
  </si>
  <si>
    <t>Ejecucion Presupuestaria de Ingresos</t>
  </si>
  <si>
    <t>Ayuda  PRT</t>
  </si>
  <si>
    <t>TOTAL DE PORCENTAJE EJECUTADO SEGÚN DISTRIBUCION</t>
  </si>
  <si>
    <t>RESPONSABLE DE PUBLICACION Y PAGINA WEB: MARIO RODOLFO CASTRO ESCOBAR</t>
  </si>
  <si>
    <t>SUF ADAPTADO</t>
  </si>
  <si>
    <t>GERENTE GENERAL: HELEN YORYANA RAFAEL LAZARO</t>
  </si>
  <si>
    <t xml:space="preserve">Devoluciones a Confederacion Deportiva Autonoma de Guatemala </t>
  </si>
  <si>
    <t>NO AFECTA PRESUPUESTO (INDEMNIZACIONES AL PERSONAL  YA REBAJADO DEL RENGLON 413)</t>
  </si>
  <si>
    <t>ajuste</t>
  </si>
  <si>
    <t>DISPONIBLE</t>
  </si>
  <si>
    <t>Del 01 de Enero al 31 de Diciembre 2024</t>
  </si>
  <si>
    <t>Ejecucion Presupuestaria de Ingresos 2024</t>
  </si>
  <si>
    <t>FEBRERO</t>
  </si>
  <si>
    <t>MARZO</t>
  </si>
  <si>
    <t>ABRIL</t>
  </si>
  <si>
    <t>MAYO</t>
  </si>
  <si>
    <t>ENCARGADA DE ACCESO A LA INFORMACION PUBLICA: ROCIO MARISOL HERRERA BARRIOS</t>
  </si>
  <si>
    <t>FECHA DE ACTUALIZACIÓN:  JUNIO 2024</t>
  </si>
  <si>
    <t>JUNIO</t>
  </si>
  <si>
    <t>FECHA DE ACTUALIZACIÓN: JUNIO 2024</t>
  </si>
  <si>
    <t>Ejecucion Presupuestaria de egresos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</si>
</sst>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Q&quot;#,##0.00"/>
    <numFmt numFmtId="166" formatCode="#,##0.00;[Red]#,##0.00"/>
    <numFmt numFmtId="167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sz val="8"/>
      <color rgb="FFFF0000"/>
      <name val="Arial"/>
      <family val="2"/>
    </font>
    <font>
      <sz val="16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00"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40" fontId="6" fillId="2" borderId="1" xfId="0" applyNumberFormat="1" applyFont="1" applyFill="1" applyBorder="1"/>
    <xf numFmtId="4" fontId="6" fillId="2" borderId="1" xfId="0" applyNumberFormat="1" applyFont="1" applyFill="1" applyBorder="1"/>
    <xf numFmtId="4" fontId="5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4" fontId="3" fillId="2" borderId="1" xfId="2" applyNumberFormat="1" applyFont="1" applyFill="1" applyBorder="1" applyAlignment="1" applyProtection="1">
      <alignment vertical="center"/>
      <protection locked="0"/>
    </xf>
    <xf numFmtId="4" fontId="10" fillId="2" borderId="1" xfId="0" applyNumberFormat="1" applyFont="1" applyFill="1" applyBorder="1"/>
    <xf numFmtId="4" fontId="5" fillId="2" borderId="0" xfId="0" applyNumberFormat="1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4" fontId="5" fillId="2" borderId="0" xfId="0" applyNumberFormat="1" applyFont="1" applyFill="1"/>
    <xf numFmtId="0" fontId="1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0" fontId="6" fillId="2" borderId="5" xfId="0" applyFont="1" applyFill="1" applyBorder="1" applyAlignment="1">
      <alignment horizontal="left" wrapText="1"/>
    </xf>
    <xf numFmtId="0" fontId="5" fillId="2" borderId="0" xfId="0" applyFont="1" applyFill="1"/>
    <xf numFmtId="0" fontId="8" fillId="2" borderId="0" xfId="0" applyFont="1" applyFill="1" applyAlignment="1" applyProtection="1">
      <alignment vertical="center" wrapText="1"/>
      <protection locked="0"/>
    </xf>
    <xf numFmtId="4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0" xfId="0" applyNumberFormat="1" applyFont="1" applyFill="1" applyBorder="1" applyAlignment="1" applyProtection="1">
      <alignment horizontal="center" vertical="top" wrapText="1"/>
      <protection locked="0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0" xfId="0" applyNumberFormat="1" applyFont="1" applyFill="1" applyBorder="1" applyAlignment="1" applyProtection="1">
      <alignment horizontal="center" vertical="top" wrapText="1"/>
      <protection locked="0"/>
    </xf>
    <xf numFmtId="4" fontId="5" fillId="2" borderId="2" xfId="0" applyNumberFormat="1" applyFont="1" applyFill="1" applyBorder="1" applyAlignment="1">
      <alignment horizontal="center" wrapText="1"/>
    </xf>
    <xf numFmtId="4" fontId="5" fillId="2" borderId="1" xfId="1" applyNumberFormat="1" applyFont="1" applyFill="1" applyBorder="1"/>
    <xf numFmtId="4" fontId="5" fillId="2" borderId="2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4" fontId="5" fillId="2" borderId="11" xfId="0" applyNumberFormat="1" applyFont="1" applyFill="1" applyBorder="1" applyAlignment="1">
      <alignment wrapText="1"/>
    </xf>
    <xf numFmtId="4" fontId="5" fillId="2" borderId="12" xfId="0" applyNumberFormat="1" applyFont="1" applyFill="1" applyBorder="1"/>
    <xf numFmtId="40" fontId="6" fillId="2" borderId="1" xfId="3" applyNumberFormat="1" applyFont="1" applyFill="1" applyBorder="1"/>
    <xf numFmtId="39" fontId="9" fillId="2" borderId="1" xfId="3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wrapText="1"/>
    </xf>
    <xf numFmtId="4" fontId="5" fillId="2" borderId="15" xfId="0" applyNumberFormat="1" applyFont="1" applyFill="1" applyBorder="1"/>
    <xf numFmtId="4" fontId="4" fillId="0" borderId="0" xfId="0" applyNumberFormat="1" applyFont="1"/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166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/>
    <xf numFmtId="4" fontId="8" fillId="2" borderId="17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top" wrapText="1"/>
    </xf>
    <xf numFmtId="4" fontId="8" fillId="2" borderId="17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/>
    </xf>
    <xf numFmtId="165" fontId="8" fillId="2" borderId="19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left" wrapText="1"/>
    </xf>
    <xf numFmtId="4" fontId="6" fillId="2" borderId="10" xfId="1" applyNumberFormat="1" applyFont="1" applyFill="1" applyBorder="1"/>
    <xf numFmtId="4" fontId="6" fillId="2" borderId="10" xfId="0" applyNumberFormat="1" applyFont="1" applyFill="1" applyBorder="1"/>
    <xf numFmtId="4" fontId="6" fillId="2" borderId="12" xfId="0" applyNumberFormat="1" applyFont="1" applyFill="1" applyBorder="1"/>
    <xf numFmtId="167" fontId="3" fillId="2" borderId="1" xfId="2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" wrapText="1"/>
    </xf>
    <xf numFmtId="167" fontId="3" fillId="2" borderId="0" xfId="2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top" wrapText="1"/>
    </xf>
    <xf numFmtId="4" fontId="8" fillId="2" borderId="10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top" wrapText="1"/>
    </xf>
    <xf numFmtId="4" fontId="8" fillId="2" borderId="2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" fontId="6" fillId="2" borderId="1" xfId="1" applyNumberFormat="1" applyFont="1" applyFill="1" applyBorder="1"/>
    <xf numFmtId="4" fontId="4" fillId="0" borderId="21" xfId="0" applyNumberFormat="1" applyFont="1" applyBorder="1"/>
    <xf numFmtId="4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wrapText="1"/>
    </xf>
    <xf numFmtId="4" fontId="6" fillId="2" borderId="22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1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Normal 2" xfId="3" xr:uid="{13DB7347-E67A-4C5A-A4EF-EFFFDCF69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1"/>
  <sheetViews>
    <sheetView topLeftCell="A24" workbookViewId="0">
      <selection activeCell="J47" sqref="J47"/>
    </sheetView>
  </sheetViews>
  <sheetFormatPr baseColWidth="10" defaultColWidth="11" defaultRowHeight="12" x14ac:dyDescent="0.2"/>
  <cols>
    <col min="1" max="1" width="6" style="2" customWidth="1"/>
    <col min="2" max="2" width="25.5703125" style="2" bestFit="1" customWidth="1"/>
    <col min="3" max="3" width="11.7109375" style="2" hidden="1" customWidth="1"/>
    <col min="4" max="4" width="8.140625" style="2" hidden="1" customWidth="1"/>
    <col min="5" max="5" width="9.85546875" style="2" hidden="1" customWidth="1"/>
    <col min="6" max="6" width="12.140625" style="2" hidden="1" customWidth="1"/>
    <col min="7" max="7" width="11.7109375" style="2" customWidth="1"/>
    <col min="8" max="13" width="11.28515625" style="2" customWidth="1"/>
    <col min="14" max="14" width="11.7109375" style="2" bestFit="1" customWidth="1"/>
    <col min="15" max="15" width="15.28515625" style="2" hidden="1" customWidth="1"/>
    <col min="16" max="16384" width="11" style="2"/>
  </cols>
  <sheetData>
    <row r="1" spans="1:15" x14ac:dyDescent="0.2">
      <c r="B1" s="86" t="s">
        <v>79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x14ac:dyDescent="0.2">
      <c r="B2" s="86" t="s">
        <v>72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x14ac:dyDescent="0.2">
      <c r="B3" s="86" t="s">
        <v>73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x14ac:dyDescent="0.2">
      <c r="B4" s="86" t="s">
        <v>74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x14ac:dyDescent="0.2">
      <c r="B5" s="86" t="s">
        <v>133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x14ac:dyDescent="0.2">
      <c r="B6" s="86" t="s">
        <v>144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x14ac:dyDescent="0.2">
      <c r="B7" s="86" t="s">
        <v>131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 x14ac:dyDescent="0.2">
      <c r="B8" s="86" t="s">
        <v>145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x14ac:dyDescent="0.2">
      <c r="B10" s="86" t="s">
        <v>75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</row>
    <row r="11" spans="1:15" x14ac:dyDescent="0.2">
      <c r="B11" s="86" t="s">
        <v>76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</row>
    <row r="12" spans="1:15" x14ac:dyDescent="0.2">
      <c r="B12" s="86" t="s">
        <v>77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1:15" ht="20.25" customHeight="1" x14ac:dyDescent="0.2">
      <c r="B13" s="86"/>
      <c r="C13" s="86"/>
      <c r="D13" s="86"/>
      <c r="E13" s="86"/>
      <c r="F13" s="86"/>
      <c r="G13" s="86"/>
      <c r="H13" s="86"/>
      <c r="I13" s="5"/>
      <c r="J13" s="5"/>
      <c r="K13" s="66"/>
      <c r="L13" s="67"/>
      <c r="M13" s="68"/>
    </row>
    <row r="14" spans="1:15" x14ac:dyDescent="0.2">
      <c r="B14" s="86" t="s">
        <v>139</v>
      </c>
      <c r="C14" s="86"/>
      <c r="D14" s="86"/>
      <c r="E14" s="86"/>
      <c r="F14" s="86"/>
      <c r="G14" s="86"/>
      <c r="H14" s="86"/>
      <c r="I14" s="5"/>
      <c r="J14" s="5"/>
      <c r="K14" s="66"/>
      <c r="L14" s="67"/>
      <c r="M14" s="68"/>
    </row>
    <row r="15" spans="1:15" ht="13.5" customHeight="1" thickBot="1" x14ac:dyDescent="0.25">
      <c r="B15" s="87" t="s">
        <v>0</v>
      </c>
      <c r="C15" s="87"/>
      <c r="D15" s="87"/>
      <c r="E15" s="87"/>
      <c r="F15" s="87"/>
      <c r="G15" s="87"/>
      <c r="H15" s="87"/>
      <c r="I15" s="64"/>
      <c r="J15" s="64"/>
      <c r="K15" s="64"/>
      <c r="L15" s="64"/>
      <c r="M15" s="64"/>
    </row>
    <row r="16" spans="1:15" s="27" customFormat="1" ht="25.5" customHeight="1" x14ac:dyDescent="0.3">
      <c r="A16" s="17"/>
      <c r="B16" s="91" t="s">
        <v>138</v>
      </c>
      <c r="C16" s="91"/>
      <c r="D16" s="91"/>
      <c r="E16" s="91"/>
      <c r="F16" s="91"/>
      <c r="G16" s="91"/>
      <c r="H16" s="17"/>
      <c r="I16" s="17"/>
      <c r="J16" s="17"/>
      <c r="K16" s="17"/>
      <c r="L16" s="17"/>
      <c r="M16" s="17"/>
    </row>
    <row r="17" spans="1:15" s="27" customFormat="1" ht="28.5" customHeight="1" thickBot="1" x14ac:dyDescent="0.35">
      <c r="A17" s="17"/>
      <c r="B17" s="91" t="s">
        <v>128</v>
      </c>
      <c r="C17" s="91"/>
      <c r="D17" s="91"/>
      <c r="E17" s="91"/>
      <c r="F17" s="91"/>
      <c r="G17" s="91"/>
      <c r="H17" s="17"/>
      <c r="I17" s="17"/>
      <c r="J17" s="17"/>
      <c r="K17" s="17"/>
      <c r="L17" s="17"/>
      <c r="M17" s="17"/>
    </row>
    <row r="18" spans="1:15" s="27" customFormat="1" ht="26.25" thickBot="1" x14ac:dyDescent="0.25">
      <c r="A18" s="23"/>
      <c r="B18" s="18" t="s">
        <v>0</v>
      </c>
      <c r="C18" s="19"/>
      <c r="D18" s="88" t="s">
        <v>1</v>
      </c>
      <c r="E18" s="89"/>
      <c r="F18" s="90"/>
      <c r="G18" s="19"/>
      <c r="H18" s="20">
        <v>2024</v>
      </c>
      <c r="I18" s="20"/>
      <c r="J18" s="20"/>
      <c r="K18" s="20"/>
      <c r="L18" s="20"/>
      <c r="M18" s="20"/>
    </row>
    <row r="19" spans="1:15" s="28" customFormat="1" ht="30.75" customHeight="1" x14ac:dyDescent="0.25">
      <c r="B19" s="29" t="s">
        <v>2</v>
      </c>
      <c r="C19" s="30" t="s">
        <v>107</v>
      </c>
      <c r="D19" s="31" t="s">
        <v>3</v>
      </c>
      <c r="E19" s="31" t="s">
        <v>4</v>
      </c>
      <c r="F19" s="32" t="s">
        <v>108</v>
      </c>
      <c r="G19" s="31" t="s">
        <v>5</v>
      </c>
      <c r="H19" s="31" t="s">
        <v>6</v>
      </c>
      <c r="I19" s="31" t="s">
        <v>140</v>
      </c>
      <c r="J19" s="31" t="s">
        <v>141</v>
      </c>
      <c r="K19" s="31" t="s">
        <v>142</v>
      </c>
      <c r="L19" s="31" t="s">
        <v>143</v>
      </c>
      <c r="M19" s="31" t="s">
        <v>146</v>
      </c>
      <c r="N19" s="31" t="s">
        <v>78</v>
      </c>
      <c r="O19" s="52" t="s">
        <v>137</v>
      </c>
    </row>
    <row r="20" spans="1:15" s="27" customFormat="1" ht="12.75" x14ac:dyDescent="0.2">
      <c r="A20" s="23"/>
      <c r="B20" s="33" t="s">
        <v>7</v>
      </c>
      <c r="C20" s="16">
        <v>505764.35666666646</v>
      </c>
      <c r="D20" s="8"/>
      <c r="E20" s="8"/>
      <c r="F20" s="8"/>
      <c r="G20" s="16">
        <v>505764.35666666646</v>
      </c>
      <c r="H20" s="8"/>
      <c r="I20" s="8"/>
      <c r="J20" s="8"/>
      <c r="K20" s="8"/>
      <c r="L20" s="8"/>
      <c r="M20" s="8"/>
      <c r="N20" s="8">
        <f>+G20</f>
        <v>505764.35666666646</v>
      </c>
      <c r="O20" s="53"/>
    </row>
    <row r="21" spans="1:15" s="27" customFormat="1" ht="12" customHeight="1" x14ac:dyDescent="0.2">
      <c r="A21" s="23"/>
      <c r="B21" s="35" t="s">
        <v>8</v>
      </c>
      <c r="C21" s="34">
        <v>4276114.22</v>
      </c>
      <c r="D21" s="34"/>
      <c r="E21" s="34"/>
      <c r="F21" s="34"/>
      <c r="G21" s="34">
        <v>4276114.22</v>
      </c>
      <c r="H21" s="8">
        <v>274302.38</v>
      </c>
      <c r="I21" s="8">
        <v>248796.59</v>
      </c>
      <c r="J21" s="8">
        <v>371564.53</v>
      </c>
      <c r="K21" s="8">
        <v>329595.53999999998</v>
      </c>
      <c r="L21" s="8">
        <f>26192+355787.54+35738.66</f>
        <v>417718.19999999995</v>
      </c>
      <c r="M21" s="8">
        <v>391526.2</v>
      </c>
      <c r="N21" s="8">
        <f t="shared" ref="N21:N33" si="0">SUM(H21:L21)</f>
        <v>1641977.24</v>
      </c>
      <c r="O21" s="53">
        <f t="shared" ref="O21:O29" si="1">+G21-N21</f>
        <v>2634136.9799999995</v>
      </c>
    </row>
    <row r="22" spans="1:15" s="27" customFormat="1" ht="12.75" x14ac:dyDescent="0.2">
      <c r="A22" s="23"/>
      <c r="B22" s="35" t="s">
        <v>132</v>
      </c>
      <c r="C22" s="34"/>
      <c r="D22" s="34"/>
      <c r="E22" s="34"/>
      <c r="F22" s="34"/>
      <c r="G22" s="34"/>
      <c r="H22" s="8"/>
      <c r="I22" s="8"/>
      <c r="J22" s="8"/>
      <c r="K22" s="8"/>
      <c r="L22" s="8"/>
      <c r="M22" s="8"/>
      <c r="N22" s="8">
        <f t="shared" si="0"/>
        <v>0</v>
      </c>
      <c r="O22" s="53">
        <f t="shared" si="1"/>
        <v>0</v>
      </c>
    </row>
    <row r="23" spans="1:15" s="27" customFormat="1" ht="23.25" customHeight="1" x14ac:dyDescent="0.2">
      <c r="A23" s="23"/>
      <c r="B23" s="35" t="s">
        <v>123</v>
      </c>
      <c r="C23" s="34"/>
      <c r="D23" s="34"/>
      <c r="E23" s="34"/>
      <c r="F23" s="34"/>
      <c r="G23" s="34"/>
      <c r="H23" s="8"/>
      <c r="I23" s="8"/>
      <c r="J23" s="8"/>
      <c r="K23" s="8"/>
      <c r="L23" s="8"/>
      <c r="M23" s="8"/>
      <c r="N23" s="8">
        <f t="shared" si="0"/>
        <v>0</v>
      </c>
      <c r="O23" s="53">
        <f t="shared" si="1"/>
        <v>0</v>
      </c>
    </row>
    <row r="24" spans="1:15" s="27" customFormat="1" ht="25.5" x14ac:dyDescent="0.2">
      <c r="A24" s="23"/>
      <c r="B24" s="35" t="s">
        <v>9</v>
      </c>
      <c r="C24" s="8">
        <v>56355</v>
      </c>
      <c r="D24" s="8"/>
      <c r="E24" s="8"/>
      <c r="F24" s="8"/>
      <c r="G24" s="8">
        <v>56355</v>
      </c>
      <c r="H24" s="8"/>
      <c r="I24" s="8"/>
      <c r="J24" s="8"/>
      <c r="K24" s="8"/>
      <c r="L24" s="8"/>
      <c r="M24" s="8"/>
      <c r="N24" s="8">
        <f t="shared" si="0"/>
        <v>0</v>
      </c>
      <c r="O24" s="53">
        <f t="shared" si="1"/>
        <v>56355</v>
      </c>
    </row>
    <row r="25" spans="1:15" s="27" customFormat="1" ht="12.75" customHeight="1" x14ac:dyDescent="0.2">
      <c r="A25" s="23"/>
      <c r="B25" s="35" t="s">
        <v>129</v>
      </c>
      <c r="C25" s="8"/>
      <c r="D25" s="8"/>
      <c r="E25" s="8"/>
      <c r="F25" s="8"/>
      <c r="G25" s="8"/>
      <c r="H25" s="8"/>
      <c r="I25" s="8"/>
      <c r="J25" s="8"/>
      <c r="K25" s="8">
        <v>36465.78</v>
      </c>
      <c r="L25" s="8"/>
      <c r="M25" s="8"/>
      <c r="N25" s="8">
        <f t="shared" si="0"/>
        <v>36465.78</v>
      </c>
      <c r="O25" s="53">
        <f t="shared" si="1"/>
        <v>-36465.78</v>
      </c>
    </row>
    <row r="26" spans="1:15" s="27" customFormat="1" ht="12.75" x14ac:dyDescent="0.2">
      <c r="A26" s="23"/>
      <c r="B26" s="35" t="s">
        <v>10</v>
      </c>
      <c r="C26" s="8">
        <v>41119.82</v>
      </c>
      <c r="D26" s="8"/>
      <c r="E26" s="8"/>
      <c r="F26" s="8"/>
      <c r="G26" s="8">
        <v>41119.82</v>
      </c>
      <c r="H26" s="8"/>
      <c r="J26" s="8"/>
      <c r="K26" s="8">
        <v>162259.74</v>
      </c>
      <c r="L26" s="8"/>
      <c r="M26" s="8"/>
      <c r="N26" s="8">
        <f t="shared" si="0"/>
        <v>162259.74</v>
      </c>
      <c r="O26" s="53">
        <f t="shared" si="1"/>
        <v>-121139.91999999998</v>
      </c>
    </row>
    <row r="27" spans="1:15" s="27" customFormat="1" ht="12.75" x14ac:dyDescent="0.2">
      <c r="A27" s="23"/>
      <c r="B27" s="35" t="s">
        <v>126</v>
      </c>
      <c r="C27" s="8">
        <v>547602.68999999994</v>
      </c>
      <c r="D27" s="8"/>
      <c r="E27" s="8"/>
      <c r="F27" s="8"/>
      <c r="G27" s="8">
        <v>547602.68999999994</v>
      </c>
      <c r="H27" s="8"/>
      <c r="I27" s="8"/>
      <c r="J27" s="8"/>
      <c r="K27" s="8"/>
      <c r="L27" s="8"/>
      <c r="M27" s="8"/>
      <c r="N27" s="8">
        <f t="shared" si="0"/>
        <v>0</v>
      </c>
      <c r="O27" s="53">
        <f t="shared" si="1"/>
        <v>547602.68999999994</v>
      </c>
    </row>
    <row r="28" spans="1:15" s="27" customFormat="1" ht="25.5" x14ac:dyDescent="0.2">
      <c r="A28" s="23"/>
      <c r="B28" s="35" t="s">
        <v>11</v>
      </c>
      <c r="C28" s="8">
        <v>14000</v>
      </c>
      <c r="D28" s="34"/>
      <c r="E28" s="34"/>
      <c r="F28" s="34"/>
      <c r="G28" s="8">
        <v>14000</v>
      </c>
      <c r="H28" s="8">
        <v>700</v>
      </c>
      <c r="I28" s="8">
        <v>200</v>
      </c>
      <c r="J28" s="8">
        <v>200</v>
      </c>
      <c r="K28" s="8">
        <v>300</v>
      </c>
      <c r="L28" s="8">
        <v>400</v>
      </c>
      <c r="M28" s="8"/>
      <c r="N28" s="8">
        <f t="shared" si="0"/>
        <v>1800</v>
      </c>
      <c r="O28" s="53">
        <f t="shared" si="1"/>
        <v>12200</v>
      </c>
    </row>
    <row r="29" spans="1:15" s="27" customFormat="1" ht="12.75" x14ac:dyDescent="0.2">
      <c r="A29" s="23"/>
      <c r="B29" s="35" t="s">
        <v>12</v>
      </c>
      <c r="C29" s="8">
        <v>5500</v>
      </c>
      <c r="D29" s="34"/>
      <c r="E29" s="34"/>
      <c r="F29" s="34"/>
      <c r="G29" s="8">
        <v>5500</v>
      </c>
      <c r="H29" s="8">
        <v>755.95</v>
      </c>
      <c r="I29" s="8">
        <v>1067.6199999999999</v>
      </c>
      <c r="J29" s="8">
        <v>982.4</v>
      </c>
      <c r="K29" s="8">
        <v>951.77</v>
      </c>
      <c r="L29" s="8">
        <v>1069.3800000000001</v>
      </c>
      <c r="M29" s="8">
        <v>1443.87</v>
      </c>
      <c r="N29" s="8">
        <f t="shared" si="0"/>
        <v>4827.12</v>
      </c>
      <c r="O29" s="53">
        <f t="shared" si="1"/>
        <v>672.88000000000011</v>
      </c>
    </row>
    <row r="30" spans="1:15" s="27" customFormat="1" ht="25.5" x14ac:dyDescent="0.2">
      <c r="A30" s="23"/>
      <c r="B30" s="35" t="s">
        <v>109</v>
      </c>
      <c r="D30" s="36"/>
      <c r="E30" s="36"/>
      <c r="F30" s="36"/>
      <c r="H30" s="8">
        <v>1383.8</v>
      </c>
      <c r="I30" s="8">
        <v>1383.8</v>
      </c>
      <c r="J30" s="8">
        <v>1383.8</v>
      </c>
      <c r="K30" s="8">
        <v>1383.8</v>
      </c>
      <c r="L30" s="8">
        <v>1383.8</v>
      </c>
      <c r="M30" s="8">
        <v>1113.32</v>
      </c>
      <c r="N30" s="8">
        <f t="shared" si="0"/>
        <v>6919</v>
      </c>
      <c r="O30" s="53">
        <f>+G30-H30</f>
        <v>-1383.8</v>
      </c>
    </row>
    <row r="31" spans="1:15" s="27" customFormat="1" ht="25.5" x14ac:dyDescent="0.2">
      <c r="A31" s="23"/>
      <c r="B31" s="35" t="s">
        <v>13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3435</v>
      </c>
      <c r="N31" s="8">
        <f t="shared" si="0"/>
        <v>0</v>
      </c>
      <c r="O31" s="53">
        <f>+G31-N31</f>
        <v>0</v>
      </c>
    </row>
    <row r="32" spans="1:15" s="27" customFormat="1" ht="12.75" x14ac:dyDescent="0.2">
      <c r="A32" s="23"/>
      <c r="B32" s="35" t="s">
        <v>124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>
        <f t="shared" si="0"/>
        <v>0</v>
      </c>
      <c r="O32" s="53">
        <f>+G32-N32</f>
        <v>0</v>
      </c>
    </row>
    <row r="33" spans="1:15" s="27" customFormat="1" ht="12.75" x14ac:dyDescent="0.2">
      <c r="A33" s="23"/>
      <c r="B33" s="35" t="s">
        <v>110</v>
      </c>
      <c r="C33" s="8"/>
      <c r="D33" s="8"/>
      <c r="E33" s="8"/>
      <c r="F33" s="8"/>
      <c r="G33" s="8"/>
      <c r="H33" s="8">
        <v>4282.91</v>
      </c>
      <c r="I33" s="8">
        <v>3928.06</v>
      </c>
      <c r="J33" s="8">
        <v>4891.16</v>
      </c>
      <c r="K33" s="8">
        <v>3924.32</v>
      </c>
      <c r="L33" s="8">
        <v>3475.62</v>
      </c>
      <c r="M33" s="8">
        <v>7088.93</v>
      </c>
      <c r="N33" s="8">
        <f t="shared" si="0"/>
        <v>20502.07</v>
      </c>
      <c r="O33" s="53">
        <f>+G33-N33</f>
        <v>-20502.07</v>
      </c>
    </row>
    <row r="34" spans="1:15" s="27" customFormat="1" ht="17.25" customHeight="1" thickBot="1" x14ac:dyDescent="0.25">
      <c r="A34" s="23"/>
      <c r="B34" s="37" t="s">
        <v>14</v>
      </c>
      <c r="C34" s="38">
        <f t="shared" ref="C34:L34" si="2">SUM(C20:C33)</f>
        <v>5446456.086666666</v>
      </c>
      <c r="D34" s="38">
        <f t="shared" si="2"/>
        <v>0</v>
      </c>
      <c r="E34" s="38">
        <f t="shared" si="2"/>
        <v>0</v>
      </c>
      <c r="F34" s="38">
        <f t="shared" si="2"/>
        <v>0</v>
      </c>
      <c r="G34" s="38">
        <f t="shared" si="2"/>
        <v>5446456.086666666</v>
      </c>
      <c r="H34" s="38">
        <f t="shared" si="2"/>
        <v>281425.03999999998</v>
      </c>
      <c r="I34" s="38">
        <f t="shared" si="2"/>
        <v>255376.06999999998</v>
      </c>
      <c r="J34" s="38">
        <f t="shared" si="2"/>
        <v>379021.89</v>
      </c>
      <c r="K34" s="38">
        <f t="shared" si="2"/>
        <v>534880.94999999995</v>
      </c>
      <c r="L34" s="38">
        <f t="shared" si="2"/>
        <v>424046.99999999994</v>
      </c>
      <c r="M34" s="38">
        <f>SUM(M20:M33)</f>
        <v>404607.32</v>
      </c>
      <c r="N34" s="38">
        <f t="shared" ref="N34:O34" si="3">SUM(N20:N33)</f>
        <v>2380515.3066666662</v>
      </c>
      <c r="O34" s="38">
        <f t="shared" si="3"/>
        <v>3071475.98</v>
      </c>
    </row>
    <row r="35" spans="1:15" ht="12.75" x14ac:dyDescent="0.2">
      <c r="B35" s="13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5" ht="12.75" x14ac:dyDescent="0.2">
      <c r="B36" s="1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5" ht="12.75" x14ac:dyDescent="0.2">
      <c r="B37" s="13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5" x14ac:dyDescent="0.2">
      <c r="B38" s="86" t="s">
        <v>79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3"/>
    </row>
    <row r="39" spans="1:15" x14ac:dyDescent="0.2">
      <c r="B39" s="86" t="s">
        <v>72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spans="1:15" x14ac:dyDescent="0.2">
      <c r="B40" s="86" t="s">
        <v>73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1:15" x14ac:dyDescent="0.2">
      <c r="B41" s="86" t="s">
        <v>74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1:15" x14ac:dyDescent="0.2">
      <c r="B42" s="86" t="s">
        <v>133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1:15" x14ac:dyDescent="0.2">
      <c r="B43" s="86" t="s">
        <v>144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  <row r="44" spans="1:15" x14ac:dyDescent="0.2">
      <c r="B44" s="86" t="s">
        <v>131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</row>
    <row r="45" spans="1:15" x14ac:dyDescent="0.2">
      <c r="B45" s="86" t="s">
        <v>147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</row>
    <row r="46" spans="1:15" x14ac:dyDescent="0.2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</row>
    <row r="47" spans="1:15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5" x14ac:dyDescent="0.2">
      <c r="B48" s="86" t="s">
        <v>75</v>
      </c>
      <c r="C48" s="86"/>
      <c r="D48" s="86"/>
      <c r="E48" s="86"/>
      <c r="F48" s="86"/>
      <c r="G48" s="86"/>
      <c r="H48" s="86"/>
      <c r="I48" s="5"/>
      <c r="J48" s="5"/>
      <c r="K48" s="66"/>
      <c r="L48" s="67"/>
      <c r="M48" s="68"/>
    </row>
    <row r="49" spans="1:14" x14ac:dyDescent="0.2">
      <c r="B49" s="86" t="s">
        <v>76</v>
      </c>
      <c r="C49" s="86"/>
      <c r="D49" s="86"/>
      <c r="E49" s="86"/>
      <c r="F49" s="86"/>
      <c r="G49" s="86"/>
      <c r="H49" s="86"/>
      <c r="I49" s="5"/>
      <c r="J49" s="5"/>
      <c r="K49" s="66"/>
      <c r="L49" s="67"/>
      <c r="M49" s="68"/>
    </row>
    <row r="50" spans="1:14" x14ac:dyDescent="0.2">
      <c r="B50" s="5"/>
      <c r="C50" s="5"/>
      <c r="D50" s="5"/>
      <c r="E50" s="5"/>
      <c r="F50" s="5"/>
      <c r="G50" s="5"/>
      <c r="H50" s="5"/>
      <c r="I50" s="5"/>
      <c r="J50" s="5"/>
      <c r="K50" s="66"/>
      <c r="L50" s="67"/>
      <c r="M50" s="68"/>
    </row>
    <row r="51" spans="1:14" x14ac:dyDescent="0.2">
      <c r="B51" s="86" t="s">
        <v>77</v>
      </c>
      <c r="C51" s="86"/>
      <c r="D51" s="86"/>
      <c r="E51" s="86"/>
      <c r="F51" s="86"/>
      <c r="G51" s="86"/>
      <c r="H51" s="86"/>
      <c r="I51" s="5"/>
      <c r="J51" s="5"/>
      <c r="K51" s="66"/>
      <c r="L51" s="67"/>
      <c r="M51" s="68"/>
    </row>
    <row r="52" spans="1:14" x14ac:dyDescent="0.2">
      <c r="B52" s="86" t="s">
        <v>148</v>
      </c>
      <c r="C52" s="86"/>
      <c r="D52" s="86"/>
      <c r="E52" s="86"/>
      <c r="F52" s="86"/>
      <c r="G52" s="86"/>
      <c r="H52" s="86"/>
      <c r="I52" s="5"/>
      <c r="J52" s="5"/>
      <c r="K52" s="66"/>
      <c r="L52" s="67"/>
      <c r="M52" s="68"/>
    </row>
    <row r="53" spans="1:14" ht="12.75" thickBot="1" x14ac:dyDescent="0.25">
      <c r="A53" s="21"/>
      <c r="B53" s="87" t="s">
        <v>0</v>
      </c>
      <c r="C53" s="87"/>
      <c r="D53" s="87"/>
      <c r="E53" s="87"/>
      <c r="F53" s="87"/>
      <c r="G53" s="87"/>
      <c r="H53" s="87"/>
      <c r="I53" s="22"/>
      <c r="J53" s="22"/>
      <c r="K53" s="22"/>
      <c r="L53" s="22"/>
      <c r="M53" s="22"/>
    </row>
    <row r="54" spans="1:14" ht="13.5" thickBot="1" x14ac:dyDescent="0.25">
      <c r="A54" s="23"/>
      <c r="B54" s="18"/>
      <c r="C54" s="19"/>
      <c r="D54" s="88" t="s">
        <v>1</v>
      </c>
      <c r="E54" s="89"/>
      <c r="F54" s="90"/>
      <c r="G54" s="19"/>
      <c r="H54" s="20"/>
      <c r="I54" s="20"/>
      <c r="J54" s="20"/>
      <c r="K54" s="20"/>
      <c r="L54" s="20"/>
      <c r="M54" s="20"/>
    </row>
    <row r="55" spans="1:14" ht="27" customHeight="1" x14ac:dyDescent="0.2">
      <c r="A55" s="69"/>
      <c r="B55" s="70" t="s">
        <v>2</v>
      </c>
      <c r="C55" s="71" t="s">
        <v>107</v>
      </c>
      <c r="D55" s="72" t="s">
        <v>3</v>
      </c>
      <c r="E55" s="72" t="s">
        <v>4</v>
      </c>
      <c r="F55" s="73" t="s">
        <v>108</v>
      </c>
      <c r="G55" s="72" t="s">
        <v>5</v>
      </c>
      <c r="H55" s="72" t="s">
        <v>6</v>
      </c>
      <c r="I55" s="72" t="s">
        <v>140</v>
      </c>
      <c r="J55" s="72" t="s">
        <v>141</v>
      </c>
      <c r="K55" s="72" t="s">
        <v>142</v>
      </c>
      <c r="L55" s="72" t="s">
        <v>143</v>
      </c>
      <c r="M55" s="72" t="s">
        <v>146</v>
      </c>
      <c r="N55" s="74" t="s">
        <v>78</v>
      </c>
    </row>
    <row r="56" spans="1:14" x14ac:dyDescent="0.2">
      <c r="A56" s="75">
        <v>0</v>
      </c>
      <c r="B56" s="76" t="s">
        <v>16</v>
      </c>
      <c r="C56" s="77"/>
      <c r="D56" s="77"/>
      <c r="E56" s="77"/>
      <c r="F56" s="77"/>
      <c r="G56" s="7"/>
      <c r="H56" s="6"/>
      <c r="I56" s="6"/>
      <c r="J56" s="6"/>
      <c r="K56" s="6"/>
      <c r="L56" s="6"/>
      <c r="M56" s="6"/>
      <c r="N56" s="78"/>
    </row>
    <row r="57" spans="1:14" x14ac:dyDescent="0.2">
      <c r="A57" s="75">
        <v>11</v>
      </c>
      <c r="B57" s="76" t="s">
        <v>17</v>
      </c>
      <c r="C57" s="11">
        <v>343800</v>
      </c>
      <c r="D57" s="7"/>
      <c r="E57" s="7"/>
      <c r="F57" s="7"/>
      <c r="G57" s="7">
        <f>+C57</f>
        <v>343800</v>
      </c>
      <c r="H57" s="6">
        <f>14000+14650</f>
        <v>28650</v>
      </c>
      <c r="I57" s="6">
        <f>14325+14325</f>
        <v>28650</v>
      </c>
      <c r="J57" s="6">
        <f>11525+2800+14325</f>
        <v>28650</v>
      </c>
      <c r="K57" s="6">
        <f>11525+2800+5025+9300</f>
        <v>28650</v>
      </c>
      <c r="L57" s="6">
        <f>11525+2800+14325</f>
        <v>28650</v>
      </c>
      <c r="M57" s="6">
        <f>5025+5025+3500+3500+3000+3000</f>
        <v>23050</v>
      </c>
      <c r="N57" s="78">
        <f>SUM(H57:M57)</f>
        <v>166300</v>
      </c>
    </row>
    <row r="58" spans="1:14" ht="22.5" x14ac:dyDescent="0.2">
      <c r="A58" s="75">
        <v>15</v>
      </c>
      <c r="B58" s="76" t="s">
        <v>18</v>
      </c>
      <c r="C58" s="11">
        <v>12000</v>
      </c>
      <c r="D58" s="7"/>
      <c r="E58" s="7"/>
      <c r="F58" s="7"/>
      <c r="G58" s="7">
        <f t="shared" ref="G58:G121" si="4">+C58</f>
        <v>12000</v>
      </c>
      <c r="H58" s="6">
        <f>500+500</f>
        <v>1000</v>
      </c>
      <c r="I58" s="6">
        <f>500+500</f>
        <v>1000</v>
      </c>
      <c r="J58" s="6">
        <f>375+125+500</f>
        <v>1000</v>
      </c>
      <c r="K58" s="6">
        <f>125+375+125+375</f>
        <v>1000</v>
      </c>
      <c r="L58" s="6">
        <f>500+500</f>
        <v>1000</v>
      </c>
      <c r="M58" s="6">
        <f>125+125+125+125+125+125</f>
        <v>750</v>
      </c>
      <c r="N58" s="78">
        <f t="shared" ref="N58:N121" si="5">SUM(H58:M58)</f>
        <v>5750</v>
      </c>
    </row>
    <row r="59" spans="1:14" x14ac:dyDescent="0.2">
      <c r="A59" s="75">
        <v>51</v>
      </c>
      <c r="B59" s="76" t="s">
        <v>19</v>
      </c>
      <c r="C59" s="11">
        <v>36497.11</v>
      </c>
      <c r="D59" s="7"/>
      <c r="E59" s="7"/>
      <c r="F59" s="7"/>
      <c r="G59" s="7">
        <f t="shared" si="4"/>
        <v>36497.11</v>
      </c>
      <c r="H59" s="6">
        <v>2987.6</v>
      </c>
      <c r="I59" s="6">
        <v>3056.96</v>
      </c>
      <c r="J59" s="6">
        <v>3056.96</v>
      </c>
      <c r="K59" s="6">
        <v>3056.96</v>
      </c>
      <c r="L59" s="6">
        <v>3056.96</v>
      </c>
      <c r="M59" s="6">
        <v>3056.96</v>
      </c>
      <c r="N59" s="78">
        <f t="shared" si="5"/>
        <v>18272.399999999998</v>
      </c>
    </row>
    <row r="60" spans="1:14" x14ac:dyDescent="0.2">
      <c r="A60" s="75">
        <v>61</v>
      </c>
      <c r="B60" s="76" t="s">
        <v>20</v>
      </c>
      <c r="C60" s="11">
        <v>328300</v>
      </c>
      <c r="D60" s="7"/>
      <c r="E60" s="7"/>
      <c r="F60" s="7"/>
      <c r="G60" s="7">
        <f t="shared" si="4"/>
        <v>328300</v>
      </c>
      <c r="H60" s="6">
        <v>27400</v>
      </c>
      <c r="I60" s="6">
        <v>27400</v>
      </c>
      <c r="J60" s="6">
        <v>27400</v>
      </c>
      <c r="K60" s="6">
        <f>12000+15400</f>
        <v>27400</v>
      </c>
      <c r="L60" s="6">
        <v>27400</v>
      </c>
      <c r="M60" s="6">
        <f>8400+7000+6000+6000</f>
        <v>27400</v>
      </c>
      <c r="N60" s="78">
        <f t="shared" si="5"/>
        <v>164400</v>
      </c>
    </row>
    <row r="61" spans="1:14" ht="22.5" x14ac:dyDescent="0.2">
      <c r="A61" s="75">
        <v>63</v>
      </c>
      <c r="B61" s="76" t="s">
        <v>21</v>
      </c>
      <c r="C61" s="11">
        <v>120000</v>
      </c>
      <c r="D61" s="7"/>
      <c r="E61" s="7"/>
      <c r="F61" s="7"/>
      <c r="G61" s="7">
        <f t="shared" si="4"/>
        <v>120000</v>
      </c>
      <c r="H61" s="6">
        <v>10000</v>
      </c>
      <c r="I61" s="6">
        <v>10000</v>
      </c>
      <c r="J61" s="6">
        <v>10000</v>
      </c>
      <c r="K61" s="6">
        <v>10000</v>
      </c>
      <c r="L61" s="6">
        <v>10000</v>
      </c>
      <c r="M61" s="6">
        <v>10000</v>
      </c>
      <c r="N61" s="78">
        <f t="shared" si="5"/>
        <v>60000</v>
      </c>
    </row>
    <row r="62" spans="1:14" x14ac:dyDescent="0.2">
      <c r="A62" s="75" t="s">
        <v>81</v>
      </c>
      <c r="B62" s="76" t="s">
        <v>22</v>
      </c>
      <c r="C62" s="11">
        <v>33545.160000000003</v>
      </c>
      <c r="D62" s="7"/>
      <c r="E62" s="7"/>
      <c r="F62" s="12"/>
      <c r="G62" s="7">
        <f t="shared" si="4"/>
        <v>33545.160000000003</v>
      </c>
      <c r="H62" s="6"/>
      <c r="I62" s="6"/>
      <c r="J62" s="6"/>
      <c r="K62" s="6"/>
      <c r="L62" s="6">
        <v>2332.0500000000002</v>
      </c>
      <c r="M62" s="6"/>
      <c r="N62" s="78">
        <f t="shared" si="5"/>
        <v>2332.0500000000002</v>
      </c>
    </row>
    <row r="63" spans="1:14" x14ac:dyDescent="0.2">
      <c r="A63" s="75">
        <v>72</v>
      </c>
      <c r="B63" s="76" t="s">
        <v>23</v>
      </c>
      <c r="C63" s="11">
        <v>33545.160000000003</v>
      </c>
      <c r="D63" s="7"/>
      <c r="E63" s="7"/>
      <c r="F63" s="7"/>
      <c r="G63" s="7">
        <f t="shared" si="4"/>
        <v>33545.160000000003</v>
      </c>
      <c r="H63" s="6"/>
      <c r="I63" s="6"/>
      <c r="J63" s="6"/>
      <c r="K63" s="6"/>
      <c r="L63" s="6">
        <v>2332.0500000000002</v>
      </c>
      <c r="M63" s="6"/>
      <c r="N63" s="78">
        <f t="shared" si="5"/>
        <v>2332.0500000000002</v>
      </c>
    </row>
    <row r="64" spans="1:14" x14ac:dyDescent="0.2">
      <c r="A64" s="79" t="s">
        <v>82</v>
      </c>
      <c r="B64" s="76" t="s">
        <v>24</v>
      </c>
      <c r="C64" s="11">
        <v>50000</v>
      </c>
      <c r="D64" s="7"/>
      <c r="E64" s="7"/>
      <c r="F64" s="7"/>
      <c r="G64" s="7">
        <f t="shared" si="4"/>
        <v>50000</v>
      </c>
      <c r="H64" s="6"/>
      <c r="I64" s="6"/>
      <c r="J64" s="6">
        <v>7200</v>
      </c>
      <c r="K64" s="6"/>
      <c r="L64" s="6">
        <f>1200+1200</f>
        <v>2400</v>
      </c>
      <c r="M64" s="6"/>
      <c r="N64" s="78">
        <f t="shared" si="5"/>
        <v>9600</v>
      </c>
    </row>
    <row r="65" spans="1:14" x14ac:dyDescent="0.2">
      <c r="A65" s="75" t="s">
        <v>83</v>
      </c>
      <c r="B65" s="76" t="s">
        <v>25</v>
      </c>
      <c r="C65" s="7">
        <v>0</v>
      </c>
      <c r="D65" s="7"/>
      <c r="E65" s="7"/>
      <c r="F65" s="7"/>
      <c r="G65" s="7">
        <f t="shared" si="4"/>
        <v>0</v>
      </c>
      <c r="H65" s="6"/>
      <c r="I65" s="6"/>
      <c r="J65" s="6"/>
      <c r="K65" s="6"/>
      <c r="L65" s="6"/>
      <c r="M65" s="6"/>
      <c r="N65" s="78">
        <f t="shared" si="5"/>
        <v>0</v>
      </c>
    </row>
    <row r="66" spans="1:14" x14ac:dyDescent="0.2">
      <c r="A66" s="75">
        <v>111</v>
      </c>
      <c r="B66" s="76" t="s">
        <v>26</v>
      </c>
      <c r="C66" s="7">
        <v>3800</v>
      </c>
      <c r="D66" s="7"/>
      <c r="E66" s="7"/>
      <c r="F66" s="7"/>
      <c r="G66" s="7">
        <f t="shared" si="4"/>
        <v>3800</v>
      </c>
      <c r="H66" s="6">
        <f>341.18+278.82</f>
        <v>620</v>
      </c>
      <c r="I66" s="6"/>
      <c r="J66" s="6">
        <f>379.7+400.42</f>
        <v>780.12</v>
      </c>
      <c r="K66" s="6">
        <v>348.64</v>
      </c>
      <c r="L66" s="6"/>
      <c r="M66" s="6">
        <v>731.76</v>
      </c>
      <c r="N66" s="78">
        <f t="shared" si="5"/>
        <v>2480.5199999999995</v>
      </c>
    </row>
    <row r="67" spans="1:14" x14ac:dyDescent="0.2">
      <c r="A67" s="75">
        <v>112</v>
      </c>
      <c r="B67" s="76" t="s">
        <v>27</v>
      </c>
      <c r="C67" s="7">
        <v>5000</v>
      </c>
      <c r="D67" s="7"/>
      <c r="E67" s="7"/>
      <c r="F67" s="7"/>
      <c r="G67" s="7">
        <f t="shared" si="4"/>
        <v>5000</v>
      </c>
      <c r="H67" s="6">
        <f>97.21+179.99</f>
        <v>277.2</v>
      </c>
      <c r="I67" s="6"/>
      <c r="J67" s="6">
        <f>191.33+182.95</f>
        <v>374.28</v>
      </c>
      <c r="K67" s="6">
        <v>177.8</v>
      </c>
      <c r="L67" s="6"/>
      <c r="M67" s="6">
        <v>312.2</v>
      </c>
      <c r="N67" s="78">
        <f t="shared" si="5"/>
        <v>1141.48</v>
      </c>
    </row>
    <row r="68" spans="1:14" x14ac:dyDescent="0.2">
      <c r="A68" s="75">
        <v>113</v>
      </c>
      <c r="B68" s="76" t="s">
        <v>28</v>
      </c>
      <c r="C68" s="7">
        <v>15000</v>
      </c>
      <c r="D68" s="7"/>
      <c r="E68" s="7"/>
      <c r="F68" s="7"/>
      <c r="G68" s="7">
        <f t="shared" si="4"/>
        <v>15000</v>
      </c>
      <c r="H68" s="6">
        <v>847.94</v>
      </c>
      <c r="I68" s="6"/>
      <c r="J68" s="6">
        <f>320+100+1065.76+320</f>
        <v>1805.76</v>
      </c>
      <c r="K68" s="6">
        <f>530+320</f>
        <v>850</v>
      </c>
      <c r="L68" s="6">
        <v>876.06</v>
      </c>
      <c r="M68" s="6">
        <f>424+60.84+53</f>
        <v>537.84</v>
      </c>
      <c r="N68" s="78">
        <f t="shared" si="5"/>
        <v>4917.6000000000004</v>
      </c>
    </row>
    <row r="69" spans="1:14" x14ac:dyDescent="0.2">
      <c r="A69" s="75">
        <v>114</v>
      </c>
      <c r="B69" s="76" t="s">
        <v>29</v>
      </c>
      <c r="C69" s="7">
        <v>1000</v>
      </c>
      <c r="D69" s="7"/>
      <c r="E69" s="7"/>
      <c r="F69" s="7"/>
      <c r="G69" s="7">
        <f t="shared" si="4"/>
        <v>1000</v>
      </c>
      <c r="H69" s="6"/>
      <c r="I69" s="6"/>
      <c r="J69" s="6">
        <v>29.5</v>
      </c>
      <c r="K69" s="6"/>
      <c r="L69" s="6"/>
      <c r="M69" s="6"/>
      <c r="N69" s="78">
        <f t="shared" si="5"/>
        <v>29.5</v>
      </c>
    </row>
    <row r="70" spans="1:14" ht="22.5" x14ac:dyDescent="0.2">
      <c r="A70" s="75">
        <v>115</v>
      </c>
      <c r="B70" s="76" t="s">
        <v>30</v>
      </c>
      <c r="C70" s="7">
        <v>600</v>
      </c>
      <c r="D70" s="7"/>
      <c r="E70" s="7"/>
      <c r="F70" s="7"/>
      <c r="G70" s="7">
        <f t="shared" si="4"/>
        <v>600</v>
      </c>
      <c r="H70" s="6">
        <v>50</v>
      </c>
      <c r="I70" s="6">
        <v>50</v>
      </c>
      <c r="J70" s="6">
        <v>50</v>
      </c>
      <c r="K70" s="6">
        <v>50</v>
      </c>
      <c r="L70" s="6">
        <v>50</v>
      </c>
      <c r="M70" s="6">
        <v>50</v>
      </c>
      <c r="N70" s="78">
        <f t="shared" si="5"/>
        <v>300</v>
      </c>
    </row>
    <row r="71" spans="1:14" x14ac:dyDescent="0.2">
      <c r="A71" s="75">
        <v>121</v>
      </c>
      <c r="B71" s="76" t="s">
        <v>31</v>
      </c>
      <c r="C71" s="7">
        <v>6000</v>
      </c>
      <c r="D71" s="7"/>
      <c r="E71" s="7"/>
      <c r="F71" s="7"/>
      <c r="G71" s="7">
        <f t="shared" si="4"/>
        <v>6000</v>
      </c>
      <c r="H71" s="6">
        <v>2050.1999999999998</v>
      </c>
      <c r="I71" s="6"/>
      <c r="J71" s="6"/>
      <c r="K71" s="6"/>
      <c r="L71" s="6"/>
      <c r="M71" s="6"/>
      <c r="N71" s="78">
        <f t="shared" si="5"/>
        <v>2050.1999999999998</v>
      </c>
    </row>
    <row r="72" spans="1:14" x14ac:dyDescent="0.2">
      <c r="A72" s="75">
        <v>122</v>
      </c>
      <c r="B72" s="76" t="s">
        <v>122</v>
      </c>
      <c r="C72" s="7">
        <v>7500</v>
      </c>
      <c r="D72" s="7"/>
      <c r="E72" s="7"/>
      <c r="F72" s="7"/>
      <c r="G72" s="7">
        <f t="shared" si="4"/>
        <v>7500</v>
      </c>
      <c r="H72" s="6"/>
      <c r="I72" s="6"/>
      <c r="J72" s="6"/>
      <c r="K72" s="6"/>
      <c r="L72" s="6"/>
      <c r="M72" s="6"/>
      <c r="N72" s="78">
        <f t="shared" si="5"/>
        <v>0</v>
      </c>
    </row>
    <row r="73" spans="1:14" x14ac:dyDescent="0.2">
      <c r="A73" s="75">
        <v>131</v>
      </c>
      <c r="B73" s="76" t="s">
        <v>32</v>
      </c>
      <c r="C73" s="7">
        <v>606288.66999999993</v>
      </c>
      <c r="D73" s="7"/>
      <c r="E73" s="7"/>
      <c r="F73" s="7"/>
      <c r="G73" s="7">
        <f t="shared" si="4"/>
        <v>606288.66999999993</v>
      </c>
      <c r="H73" s="6">
        <v>40800</v>
      </c>
      <c r="I73" s="6"/>
      <c r="J73" s="6">
        <v>139200</v>
      </c>
      <c r="K73" s="6">
        <v>32400</v>
      </c>
      <c r="L73" s="6">
        <f>25740+141570</f>
        <v>167310</v>
      </c>
      <c r="M73" s="6"/>
      <c r="N73" s="78">
        <f t="shared" si="5"/>
        <v>379710</v>
      </c>
    </row>
    <row r="74" spans="1:14" x14ac:dyDescent="0.2">
      <c r="A74" s="75" t="s">
        <v>84</v>
      </c>
      <c r="B74" s="76" t="s">
        <v>33</v>
      </c>
      <c r="C74" s="7">
        <v>150000</v>
      </c>
      <c r="D74" s="7"/>
      <c r="E74" s="7"/>
      <c r="F74" s="7"/>
      <c r="G74" s="7">
        <f t="shared" si="4"/>
        <v>150000</v>
      </c>
      <c r="H74" s="6">
        <f>1900+1400</f>
        <v>3300</v>
      </c>
      <c r="I74" s="6">
        <f>1400+1281+3696+4650+1450+516</f>
        <v>12993</v>
      </c>
      <c r="J74" s="6">
        <f>57597+776+1570+1250</f>
        <v>61193</v>
      </c>
      <c r="K74" s="6">
        <f>2525+600+1800+250</f>
        <v>5175</v>
      </c>
      <c r="L74" s="6">
        <f>540+175+840+1480</f>
        <v>3035</v>
      </c>
      <c r="M74" s="6">
        <f>1340+698+1650</f>
        <v>3688</v>
      </c>
      <c r="N74" s="78">
        <f t="shared" si="5"/>
        <v>89384</v>
      </c>
    </row>
    <row r="75" spans="1:14" x14ac:dyDescent="0.2">
      <c r="A75" s="75" t="s">
        <v>85</v>
      </c>
      <c r="B75" s="76" t="s">
        <v>34</v>
      </c>
      <c r="C75" s="7">
        <v>95000</v>
      </c>
      <c r="D75" s="7"/>
      <c r="E75" s="7"/>
      <c r="F75" s="7"/>
      <c r="G75" s="7">
        <f t="shared" si="4"/>
        <v>95000</v>
      </c>
      <c r="H75" s="6"/>
      <c r="I75" s="6"/>
      <c r="J75" s="6">
        <v>5500</v>
      </c>
      <c r="K75" s="6"/>
      <c r="L75" s="6"/>
      <c r="M75" s="6"/>
      <c r="N75" s="78">
        <f t="shared" si="5"/>
        <v>5500</v>
      </c>
    </row>
    <row r="76" spans="1:14" ht="22.5" x14ac:dyDescent="0.2">
      <c r="A76" s="75">
        <v>151</v>
      </c>
      <c r="B76" s="76" t="s">
        <v>35</v>
      </c>
      <c r="C76" s="7">
        <v>108900</v>
      </c>
      <c r="D76" s="7"/>
      <c r="E76" s="7"/>
      <c r="F76" s="7"/>
      <c r="G76" s="7">
        <f t="shared" si="4"/>
        <v>108900</v>
      </c>
      <c r="H76" s="6">
        <v>8665</v>
      </c>
      <c r="I76" s="6">
        <v>8665</v>
      </c>
      <c r="J76" s="6">
        <v>8665</v>
      </c>
      <c r="K76" s="6">
        <f>8665+2250</f>
        <v>10915</v>
      </c>
      <c r="L76" s="6">
        <v>8665</v>
      </c>
      <c r="M76" s="6">
        <v>8665</v>
      </c>
      <c r="N76" s="78">
        <f t="shared" si="5"/>
        <v>54240</v>
      </c>
    </row>
    <row r="77" spans="1:14" ht="22.5" x14ac:dyDescent="0.2">
      <c r="A77" s="75">
        <v>152</v>
      </c>
      <c r="B77" s="76" t="s">
        <v>36</v>
      </c>
      <c r="C77" s="7">
        <v>2500</v>
      </c>
      <c r="D77" s="7"/>
      <c r="E77" s="7"/>
      <c r="F77" s="7"/>
      <c r="G77" s="7">
        <f t="shared" si="4"/>
        <v>2500</v>
      </c>
      <c r="H77" s="6"/>
      <c r="I77" s="6"/>
      <c r="J77" s="6"/>
      <c r="K77" s="6"/>
      <c r="L77" s="6"/>
      <c r="M77" s="6"/>
      <c r="N77" s="78">
        <f t="shared" si="5"/>
        <v>0</v>
      </c>
    </row>
    <row r="78" spans="1:14" ht="22.5" x14ac:dyDescent="0.2">
      <c r="A78" s="75">
        <v>153</v>
      </c>
      <c r="B78" s="76" t="s">
        <v>37</v>
      </c>
      <c r="C78" s="7">
        <v>8500</v>
      </c>
      <c r="D78" s="7"/>
      <c r="E78" s="7"/>
      <c r="F78" s="7"/>
      <c r="G78" s="7">
        <f t="shared" si="4"/>
        <v>8500</v>
      </c>
      <c r="H78" s="6">
        <v>600</v>
      </c>
      <c r="I78" s="6">
        <v>600</v>
      </c>
      <c r="J78" s="6">
        <v>600</v>
      </c>
      <c r="K78" s="6">
        <v>600</v>
      </c>
      <c r="L78" s="6">
        <v>600</v>
      </c>
      <c r="M78" s="6"/>
      <c r="N78" s="78">
        <f t="shared" si="5"/>
        <v>3000</v>
      </c>
    </row>
    <row r="79" spans="1:14" ht="22.5" x14ac:dyDescent="0.2">
      <c r="A79" s="75">
        <v>155</v>
      </c>
      <c r="B79" s="76" t="s">
        <v>38</v>
      </c>
      <c r="C79" s="7">
        <v>95000</v>
      </c>
      <c r="D79" s="7"/>
      <c r="E79" s="7"/>
      <c r="F79" s="7"/>
      <c r="G79" s="7">
        <f t="shared" si="4"/>
        <v>95000</v>
      </c>
      <c r="H79" s="6"/>
      <c r="I79" s="6">
        <v>1100</v>
      </c>
      <c r="J79" s="6">
        <f>2800+12900+8800+750</f>
        <v>25250</v>
      </c>
      <c r="K79" s="6">
        <f>2300+2300+2200+2100+2400</f>
        <v>11300</v>
      </c>
      <c r="L79" s="6">
        <f>20415+4500</f>
        <v>24915</v>
      </c>
      <c r="M79" s="6"/>
      <c r="N79" s="78">
        <f t="shared" si="5"/>
        <v>62565</v>
      </c>
    </row>
    <row r="80" spans="1:14" ht="22.5" x14ac:dyDescent="0.2">
      <c r="A80" s="75">
        <v>161</v>
      </c>
      <c r="B80" s="76" t="s">
        <v>86</v>
      </c>
      <c r="C80" s="7">
        <v>5000</v>
      </c>
      <c r="D80" s="7"/>
      <c r="E80" s="7"/>
      <c r="F80" s="7"/>
      <c r="G80" s="7">
        <f t="shared" si="4"/>
        <v>5000</v>
      </c>
      <c r="H80" s="6"/>
      <c r="I80" s="6"/>
      <c r="J80" s="6"/>
      <c r="K80" s="6"/>
      <c r="L80" s="6"/>
      <c r="M80" s="6"/>
      <c r="N80" s="78">
        <f t="shared" si="5"/>
        <v>0</v>
      </c>
    </row>
    <row r="81" spans="1:14" ht="22.5" x14ac:dyDescent="0.2">
      <c r="A81" s="75">
        <v>164</v>
      </c>
      <c r="B81" s="76" t="s">
        <v>39</v>
      </c>
      <c r="C81" s="7">
        <v>50000</v>
      </c>
      <c r="D81" s="7"/>
      <c r="E81" s="7"/>
      <c r="F81" s="7"/>
      <c r="G81" s="7">
        <f t="shared" si="4"/>
        <v>50000</v>
      </c>
      <c r="H81" s="6"/>
      <c r="I81" s="6"/>
      <c r="J81" s="6">
        <v>1550</v>
      </c>
      <c r="K81" s="6">
        <f>800+925</f>
        <v>1725</v>
      </c>
      <c r="L81" s="6"/>
      <c r="M81" s="6">
        <v>2300</v>
      </c>
      <c r="N81" s="78">
        <f t="shared" si="5"/>
        <v>5575</v>
      </c>
    </row>
    <row r="82" spans="1:14" ht="22.5" x14ac:dyDescent="0.2">
      <c r="A82" s="75" t="s">
        <v>87</v>
      </c>
      <c r="B82" s="76" t="s">
        <v>40</v>
      </c>
      <c r="C82" s="7">
        <v>10000</v>
      </c>
      <c r="D82" s="7"/>
      <c r="E82" s="7"/>
      <c r="F82" s="7"/>
      <c r="G82" s="7">
        <f t="shared" si="4"/>
        <v>10000</v>
      </c>
      <c r="H82" s="6"/>
      <c r="I82" s="6"/>
      <c r="J82" s="6"/>
      <c r="K82" s="6"/>
      <c r="L82" s="6"/>
      <c r="M82" s="6"/>
      <c r="N82" s="78">
        <f t="shared" si="5"/>
        <v>0</v>
      </c>
    </row>
    <row r="83" spans="1:14" ht="22.5" x14ac:dyDescent="0.2">
      <c r="A83" s="75">
        <v>169</v>
      </c>
      <c r="B83" s="76" t="s">
        <v>88</v>
      </c>
      <c r="C83" s="7">
        <v>5500</v>
      </c>
      <c r="D83" s="7"/>
      <c r="E83" s="7"/>
      <c r="F83" s="7"/>
      <c r="G83" s="7">
        <f t="shared" si="4"/>
        <v>5500</v>
      </c>
      <c r="H83" s="6"/>
      <c r="I83" s="6"/>
      <c r="J83" s="6"/>
      <c r="K83" s="6"/>
      <c r="L83" s="6"/>
      <c r="M83" s="6"/>
      <c r="N83" s="78">
        <f t="shared" si="5"/>
        <v>0</v>
      </c>
    </row>
    <row r="84" spans="1:14" x14ac:dyDescent="0.2">
      <c r="A84" s="75">
        <v>182</v>
      </c>
      <c r="B84" s="76" t="s">
        <v>89</v>
      </c>
      <c r="C84" s="7">
        <v>15000</v>
      </c>
      <c r="D84" s="7"/>
      <c r="E84" s="7"/>
      <c r="F84" s="7"/>
      <c r="G84" s="7">
        <f t="shared" si="4"/>
        <v>15000</v>
      </c>
      <c r="H84" s="6"/>
      <c r="I84" s="6"/>
      <c r="J84" s="6"/>
      <c r="K84" s="6">
        <v>1800</v>
      </c>
      <c r="L84" s="6"/>
      <c r="M84" s="6"/>
      <c r="N84" s="78">
        <f t="shared" si="5"/>
        <v>1800</v>
      </c>
    </row>
    <row r="85" spans="1:14" x14ac:dyDescent="0.2">
      <c r="A85" s="75">
        <v>183</v>
      </c>
      <c r="B85" s="76" t="s">
        <v>41</v>
      </c>
      <c r="C85" s="7">
        <v>25000</v>
      </c>
      <c r="D85" s="7"/>
      <c r="E85" s="7"/>
      <c r="F85" s="7"/>
      <c r="G85" s="7">
        <f t="shared" si="4"/>
        <v>25000</v>
      </c>
      <c r="H85" s="6"/>
      <c r="I85" s="6">
        <v>450</v>
      </c>
      <c r="J85" s="6"/>
      <c r="K85" s="6">
        <f>600+8700+3000</f>
        <v>12300</v>
      </c>
      <c r="L85" s="6">
        <v>3000</v>
      </c>
      <c r="M85" s="6"/>
      <c r="N85" s="78">
        <f t="shared" si="5"/>
        <v>15750</v>
      </c>
    </row>
    <row r="86" spans="1:14" x14ac:dyDescent="0.2">
      <c r="A86" s="75">
        <v>185</v>
      </c>
      <c r="B86" s="76" t="s">
        <v>42</v>
      </c>
      <c r="C86" s="7">
        <v>6500</v>
      </c>
      <c r="D86" s="7"/>
      <c r="E86" s="7"/>
      <c r="F86" s="7"/>
      <c r="G86" s="7">
        <f t="shared" si="4"/>
        <v>6500</v>
      </c>
      <c r="H86" s="6"/>
      <c r="I86" s="6"/>
      <c r="J86" s="6"/>
      <c r="K86" s="6"/>
      <c r="L86" s="6"/>
      <c r="M86" s="6"/>
      <c r="N86" s="78">
        <f t="shared" si="5"/>
        <v>0</v>
      </c>
    </row>
    <row r="87" spans="1:14" ht="22.5" x14ac:dyDescent="0.2">
      <c r="A87" s="75">
        <v>186</v>
      </c>
      <c r="B87" s="76" t="s">
        <v>43</v>
      </c>
      <c r="C87" s="7">
        <v>15000</v>
      </c>
      <c r="D87" s="7"/>
      <c r="E87" s="7"/>
      <c r="F87" s="7"/>
      <c r="G87" s="7">
        <f t="shared" si="4"/>
        <v>15000</v>
      </c>
      <c r="H87" s="6">
        <f>2800+595</f>
        <v>3395</v>
      </c>
      <c r="I87" s="6">
        <v>275</v>
      </c>
      <c r="J87" s="6">
        <f>2800+5100</f>
        <v>7900</v>
      </c>
      <c r="K87" s="6">
        <v>2800</v>
      </c>
      <c r="L87" s="6">
        <f>350+2800</f>
        <v>3150</v>
      </c>
      <c r="M87" s="6">
        <v>2800</v>
      </c>
      <c r="N87" s="78">
        <f t="shared" si="5"/>
        <v>20320</v>
      </c>
    </row>
    <row r="88" spans="1:14" x14ac:dyDescent="0.2">
      <c r="A88" s="75">
        <v>189</v>
      </c>
      <c r="B88" s="76" t="s">
        <v>44</v>
      </c>
      <c r="C88" s="7">
        <v>932956.29</v>
      </c>
      <c r="D88" s="7"/>
      <c r="E88" s="7"/>
      <c r="F88" s="7"/>
      <c r="G88" s="7">
        <f t="shared" si="4"/>
        <v>932956.29</v>
      </c>
      <c r="H88" s="6">
        <f>4100+24000+17670+8550</f>
        <v>54320</v>
      </c>
      <c r="I88" s="6">
        <f>4300+28050+20270+8100</f>
        <v>60720</v>
      </c>
      <c r="J88" s="6">
        <f>4400+22200+4800+15540+6850+37000+21270+1400</f>
        <v>113460</v>
      </c>
      <c r="K88" s="6">
        <f>1100+1400+4300+58270+800</f>
        <v>65870</v>
      </c>
      <c r="L88" s="6">
        <f>4300+19650+38620+7600</f>
        <v>70170</v>
      </c>
      <c r="M88" s="6">
        <f>4300+4300+8550+3000+3800+3800+4650+8900+4700+4470+3600+4700+3800+5000+7200</f>
        <v>74770</v>
      </c>
      <c r="N88" s="78">
        <f t="shared" si="5"/>
        <v>439310</v>
      </c>
    </row>
    <row r="89" spans="1:14" ht="22.5" x14ac:dyDescent="0.2">
      <c r="A89" s="75">
        <v>191</v>
      </c>
      <c r="B89" s="76" t="s">
        <v>90</v>
      </c>
      <c r="C89" s="7">
        <v>200</v>
      </c>
      <c r="D89" s="7"/>
      <c r="E89" s="7"/>
      <c r="F89" s="7"/>
      <c r="G89" s="7">
        <f t="shared" si="4"/>
        <v>200</v>
      </c>
      <c r="H89" s="6"/>
      <c r="I89" s="6">
        <v>5902.92</v>
      </c>
      <c r="J89" s="6"/>
      <c r="K89" s="6">
        <f>7441.2+1373.76</f>
        <v>8814.9599999999991</v>
      </c>
      <c r="L89" s="6"/>
      <c r="M89" s="6"/>
      <c r="N89" s="78">
        <f t="shared" si="5"/>
        <v>14717.88</v>
      </c>
    </row>
    <row r="90" spans="1:14" ht="22.5" x14ac:dyDescent="0.2">
      <c r="A90" s="75" t="s">
        <v>91</v>
      </c>
      <c r="B90" s="76" t="s">
        <v>92</v>
      </c>
      <c r="C90" s="7">
        <v>500</v>
      </c>
      <c r="D90" s="7"/>
      <c r="E90" s="7"/>
      <c r="F90" s="7"/>
      <c r="G90" s="7">
        <f t="shared" si="4"/>
        <v>500</v>
      </c>
      <c r="H90" s="6">
        <v>50</v>
      </c>
      <c r="I90" s="6"/>
      <c r="J90" s="6"/>
      <c r="K90" s="6"/>
      <c r="L90" s="6"/>
      <c r="M90" s="6"/>
      <c r="N90" s="78">
        <f t="shared" si="5"/>
        <v>50</v>
      </c>
    </row>
    <row r="91" spans="1:14" x14ac:dyDescent="0.2">
      <c r="A91" s="75">
        <f>195</f>
        <v>195</v>
      </c>
      <c r="B91" s="76" t="s">
        <v>93</v>
      </c>
      <c r="C91" s="7">
        <v>1500</v>
      </c>
      <c r="D91" s="7"/>
      <c r="E91" s="7"/>
      <c r="F91" s="7"/>
      <c r="G91" s="7">
        <f t="shared" si="4"/>
        <v>1500</v>
      </c>
      <c r="H91" s="6">
        <f>45+75.6</f>
        <v>120.6</v>
      </c>
      <c r="I91" s="6">
        <v>106.77</v>
      </c>
      <c r="J91" s="6">
        <v>98.24</v>
      </c>
      <c r="K91" s="6">
        <v>95.18</v>
      </c>
      <c r="L91" s="6">
        <v>106.94</v>
      </c>
      <c r="M91" s="6">
        <v>144.38999999999999</v>
      </c>
      <c r="N91" s="78">
        <f t="shared" si="5"/>
        <v>672.12</v>
      </c>
    </row>
    <row r="92" spans="1:14" ht="22.5" x14ac:dyDescent="0.2">
      <c r="A92" s="75">
        <v>196</v>
      </c>
      <c r="B92" s="76" t="s">
        <v>45</v>
      </c>
      <c r="C92" s="7">
        <v>95000</v>
      </c>
      <c r="D92" s="7"/>
      <c r="E92" s="7"/>
      <c r="F92" s="7"/>
      <c r="G92" s="7">
        <f t="shared" si="4"/>
        <v>95000</v>
      </c>
      <c r="H92" s="6">
        <v>1325.96</v>
      </c>
      <c r="I92" s="6">
        <f>1530.97+1292.06+1550</f>
        <v>4373.03</v>
      </c>
      <c r="J92" s="6">
        <f>19950+1014.02</f>
        <v>20964.02</v>
      </c>
      <c r="K92" s="6">
        <f>4950+467.99</f>
        <v>5417.99</v>
      </c>
      <c r="L92" s="6">
        <f>439.2+7200</f>
        <v>7639.2</v>
      </c>
      <c r="M92" s="6">
        <f>935.98+100+500</f>
        <v>1535.98</v>
      </c>
      <c r="N92" s="78">
        <f t="shared" si="5"/>
        <v>41256.18</v>
      </c>
    </row>
    <row r="93" spans="1:14" x14ac:dyDescent="0.2">
      <c r="A93" s="75">
        <v>197</v>
      </c>
      <c r="B93" s="76" t="s">
        <v>46</v>
      </c>
      <c r="C93" s="7">
        <v>55000</v>
      </c>
      <c r="D93" s="7"/>
      <c r="E93" s="7"/>
      <c r="F93" s="7"/>
      <c r="G93" s="7">
        <f t="shared" si="4"/>
        <v>55000</v>
      </c>
      <c r="H93" s="6">
        <v>977.5</v>
      </c>
      <c r="I93" s="6">
        <v>977.5</v>
      </c>
      <c r="J93" s="6">
        <f>10500+977.5</f>
        <v>11477.5</v>
      </c>
      <c r="K93" s="6">
        <v>977.5</v>
      </c>
      <c r="L93" s="6">
        <v>977.5</v>
      </c>
      <c r="M93" s="6">
        <f>977.5+2800</f>
        <v>3777.5</v>
      </c>
      <c r="N93" s="78">
        <f t="shared" si="5"/>
        <v>19165</v>
      </c>
    </row>
    <row r="94" spans="1:14" ht="22.5" x14ac:dyDescent="0.2">
      <c r="A94" s="75">
        <v>199</v>
      </c>
      <c r="B94" s="80" t="s">
        <v>47</v>
      </c>
      <c r="C94" s="7">
        <v>150000</v>
      </c>
      <c r="D94" s="7"/>
      <c r="E94" s="7"/>
      <c r="F94" s="7"/>
      <c r="G94" s="7">
        <f t="shared" si="4"/>
        <v>150000</v>
      </c>
      <c r="H94" s="6">
        <f>60+800+10+2289.6</f>
        <v>3159.6</v>
      </c>
      <c r="I94" s="6">
        <f>20+14432+181+15+100</f>
        <v>14748</v>
      </c>
      <c r="J94" s="6">
        <f>3000+12950+711+441</f>
        <v>17102</v>
      </c>
      <c r="K94" s="6">
        <f>415+30+15+5500+160</f>
        <v>6120</v>
      </c>
      <c r="L94" s="6">
        <f>166+140+400+700+700+10</f>
        <v>2116</v>
      </c>
      <c r="M94" s="6">
        <f>250+966+15</f>
        <v>1231</v>
      </c>
      <c r="N94" s="78">
        <f t="shared" si="5"/>
        <v>44476.6</v>
      </c>
    </row>
    <row r="95" spans="1:14" x14ac:dyDescent="0.2">
      <c r="A95" s="75" t="s">
        <v>94</v>
      </c>
      <c r="B95" s="76" t="s">
        <v>48</v>
      </c>
      <c r="C95" s="7"/>
      <c r="D95" s="7"/>
      <c r="E95" s="7"/>
      <c r="F95" s="7"/>
      <c r="G95" s="7">
        <f t="shared" si="4"/>
        <v>0</v>
      </c>
      <c r="H95" s="6"/>
      <c r="I95" s="6"/>
      <c r="J95" s="6"/>
      <c r="K95" s="6"/>
      <c r="L95" s="6"/>
      <c r="M95" s="6"/>
      <c r="N95" s="78">
        <f t="shared" si="5"/>
        <v>0</v>
      </c>
    </row>
    <row r="96" spans="1:14" x14ac:dyDescent="0.2">
      <c r="A96" s="75">
        <v>211</v>
      </c>
      <c r="B96" s="76" t="s">
        <v>49</v>
      </c>
      <c r="C96" s="7">
        <v>250000</v>
      </c>
      <c r="D96" s="7"/>
      <c r="E96" s="7"/>
      <c r="F96" s="7"/>
      <c r="G96" s="7">
        <f t="shared" si="4"/>
        <v>250000</v>
      </c>
      <c r="H96" s="6">
        <f>346+6970+1945+1615</f>
        <v>10876</v>
      </c>
      <c r="I96" s="6">
        <f>742+865.9+3756.7+1364.5+845+2708.98+4700</f>
        <v>14983.08</v>
      </c>
      <c r="J96" s="6">
        <f>35985+5505.05+943+517</f>
        <v>42950.05</v>
      </c>
      <c r="K96" s="6">
        <f>2618+867+1740+1871+1840+825+3025+6610+3040+1108+1600</f>
        <v>25144</v>
      </c>
      <c r="L96" s="6">
        <f>512+2100+984.39+982+4375+3693.1</f>
        <v>12646.49</v>
      </c>
      <c r="M96" s="6">
        <f>548+1074+1895</f>
        <v>3517</v>
      </c>
      <c r="N96" s="78">
        <f t="shared" si="5"/>
        <v>110116.62000000001</v>
      </c>
    </row>
    <row r="97" spans="1:14" ht="22.5" x14ac:dyDescent="0.2">
      <c r="A97" s="75" t="s">
        <v>95</v>
      </c>
      <c r="B97" s="76" t="s">
        <v>50</v>
      </c>
      <c r="C97" s="7">
        <v>100000</v>
      </c>
      <c r="D97" s="7"/>
      <c r="E97" s="7"/>
      <c r="F97" s="7"/>
      <c r="G97" s="7">
        <f t="shared" si="4"/>
        <v>100000</v>
      </c>
      <c r="H97" s="6"/>
      <c r="I97" s="6">
        <v>4240</v>
      </c>
      <c r="J97" s="6"/>
      <c r="K97" s="6">
        <f>6075+1440</f>
        <v>7515</v>
      </c>
      <c r="L97" s="6"/>
      <c r="M97" s="6"/>
      <c r="N97" s="78">
        <f t="shared" si="5"/>
        <v>11755</v>
      </c>
    </row>
    <row r="98" spans="1:14" x14ac:dyDescent="0.2">
      <c r="A98" s="75" t="s">
        <v>96</v>
      </c>
      <c r="B98" s="76" t="s">
        <v>51</v>
      </c>
      <c r="C98" s="7">
        <v>3500</v>
      </c>
      <c r="D98" s="7"/>
      <c r="E98" s="7"/>
      <c r="F98" s="7"/>
      <c r="G98" s="7">
        <f t="shared" si="4"/>
        <v>3500</v>
      </c>
      <c r="H98" s="6">
        <f>600+185.5</f>
        <v>785.5</v>
      </c>
      <c r="I98" s="6"/>
      <c r="J98" s="6"/>
      <c r="K98" s="6"/>
      <c r="L98" s="6"/>
      <c r="M98" s="6">
        <v>418.8</v>
      </c>
      <c r="N98" s="78">
        <f t="shared" si="5"/>
        <v>1204.3</v>
      </c>
    </row>
    <row r="99" spans="1:14" ht="22.5" x14ac:dyDescent="0.2">
      <c r="A99" s="75" t="s">
        <v>97</v>
      </c>
      <c r="B99" s="76" t="s">
        <v>52</v>
      </c>
      <c r="C99" s="7">
        <v>5000</v>
      </c>
      <c r="D99" s="7"/>
      <c r="E99" s="7"/>
      <c r="F99" s="7"/>
      <c r="G99" s="7">
        <f t="shared" si="4"/>
        <v>5000</v>
      </c>
      <c r="H99" s="6"/>
      <c r="I99" s="6"/>
      <c r="J99" s="6">
        <v>135.85</v>
      </c>
      <c r="K99" s="6">
        <v>142.5</v>
      </c>
      <c r="L99" s="6">
        <v>109.9</v>
      </c>
      <c r="M99" s="6"/>
      <c r="N99" s="78">
        <f t="shared" si="5"/>
        <v>388.25</v>
      </c>
    </row>
    <row r="100" spans="1:14" x14ac:dyDescent="0.2">
      <c r="A100" s="75">
        <v>245</v>
      </c>
      <c r="B100" s="76" t="s">
        <v>125</v>
      </c>
      <c r="C100" s="7">
        <v>15000</v>
      </c>
      <c r="D100" s="7"/>
      <c r="E100" s="7"/>
      <c r="F100" s="7"/>
      <c r="G100" s="7">
        <f t="shared" si="4"/>
        <v>15000</v>
      </c>
      <c r="H100" s="6"/>
      <c r="I100" s="6">
        <v>5</v>
      </c>
      <c r="J100" s="6"/>
      <c r="K100" s="6"/>
      <c r="L100" s="6"/>
      <c r="M100" s="6"/>
      <c r="N100" s="78">
        <f t="shared" si="5"/>
        <v>5</v>
      </c>
    </row>
    <row r="101" spans="1:14" x14ac:dyDescent="0.2">
      <c r="A101" s="75">
        <v>247</v>
      </c>
      <c r="B101" s="76" t="s">
        <v>53</v>
      </c>
      <c r="C101" s="7">
        <v>2500</v>
      </c>
      <c r="D101" s="7"/>
      <c r="E101" s="7"/>
      <c r="F101" s="7"/>
      <c r="G101" s="7">
        <f t="shared" si="4"/>
        <v>2500</v>
      </c>
      <c r="H101" s="6"/>
      <c r="I101" s="6"/>
      <c r="J101" s="6">
        <v>416.2</v>
      </c>
      <c r="K101" s="6"/>
      <c r="L101" s="6"/>
      <c r="M101" s="6"/>
      <c r="N101" s="78">
        <f t="shared" si="5"/>
        <v>416.2</v>
      </c>
    </row>
    <row r="102" spans="1:14" x14ac:dyDescent="0.2">
      <c r="A102" s="75">
        <v>262</v>
      </c>
      <c r="B102" s="76" t="s">
        <v>54</v>
      </c>
      <c r="C102" s="7">
        <v>100000</v>
      </c>
      <c r="D102" s="7"/>
      <c r="E102" s="7"/>
      <c r="F102" s="7"/>
      <c r="G102" s="7">
        <f t="shared" si="4"/>
        <v>100000</v>
      </c>
      <c r="H102" s="6">
        <f>400+75</f>
        <v>475</v>
      </c>
      <c r="I102" s="6">
        <f>790.16+635+150+450</f>
        <v>2025.1599999999999</v>
      </c>
      <c r="J102" s="6">
        <f>2493.26+1205.29+680</f>
        <v>4378.55</v>
      </c>
      <c r="K102" s="6">
        <f>505.12+525.07+250+826</f>
        <v>2106.19</v>
      </c>
      <c r="L102" s="6">
        <f>1867.52+3250.37+2376.43+2206.36</f>
        <v>9700.68</v>
      </c>
      <c r="M102" s="6">
        <f>900.07+1465</f>
        <v>2365.0700000000002</v>
      </c>
      <c r="N102" s="78">
        <f t="shared" si="5"/>
        <v>21050.65</v>
      </c>
    </row>
    <row r="103" spans="1:14" ht="22.5" x14ac:dyDescent="0.2">
      <c r="A103" s="75">
        <v>266</v>
      </c>
      <c r="B103" s="76" t="s">
        <v>55</v>
      </c>
      <c r="C103" s="7">
        <v>24000</v>
      </c>
      <c r="D103" s="7"/>
      <c r="E103" s="7"/>
      <c r="F103" s="7"/>
      <c r="G103" s="7">
        <f t="shared" si="4"/>
        <v>24000</v>
      </c>
      <c r="H103" s="6"/>
      <c r="I103" s="6"/>
      <c r="J103" s="6"/>
      <c r="K103" s="6"/>
      <c r="L103" s="6"/>
      <c r="M103" s="6"/>
      <c r="N103" s="78">
        <f t="shared" si="5"/>
        <v>0</v>
      </c>
    </row>
    <row r="104" spans="1:14" ht="22.5" x14ac:dyDescent="0.2">
      <c r="A104" s="75" t="s">
        <v>98</v>
      </c>
      <c r="B104" s="76" t="s">
        <v>56</v>
      </c>
      <c r="C104" s="7">
        <v>5000</v>
      </c>
      <c r="D104" s="7"/>
      <c r="E104" s="7"/>
      <c r="F104" s="7"/>
      <c r="G104" s="7">
        <f t="shared" si="4"/>
        <v>5000</v>
      </c>
      <c r="H104" s="6"/>
      <c r="I104" s="6"/>
      <c r="J104" s="6">
        <v>555</v>
      </c>
      <c r="K104" s="6"/>
      <c r="L104" s="6">
        <v>569</v>
      </c>
      <c r="M104" s="6"/>
      <c r="N104" s="78">
        <f t="shared" si="5"/>
        <v>1124</v>
      </c>
    </row>
    <row r="105" spans="1:14" ht="22.5" x14ac:dyDescent="0.2">
      <c r="A105" s="75">
        <v>268</v>
      </c>
      <c r="B105" s="76" t="s">
        <v>57</v>
      </c>
      <c r="C105" s="7">
        <v>35000</v>
      </c>
      <c r="D105" s="7"/>
      <c r="E105" s="7"/>
      <c r="F105" s="7"/>
      <c r="G105" s="7">
        <f t="shared" si="4"/>
        <v>35000</v>
      </c>
      <c r="H105" s="6">
        <v>600</v>
      </c>
      <c r="I105" s="6">
        <v>83.97</v>
      </c>
      <c r="J105" s="6">
        <f>144.95+400</f>
        <v>544.95000000000005</v>
      </c>
      <c r="K105" s="6">
        <f>376.9+100</f>
        <v>476.9</v>
      </c>
      <c r="L105" s="6">
        <v>2424.9499999999998</v>
      </c>
      <c r="M105" s="6">
        <v>600</v>
      </c>
      <c r="N105" s="78">
        <f t="shared" si="5"/>
        <v>4730.7700000000004</v>
      </c>
    </row>
    <row r="106" spans="1:14" ht="27" customHeight="1" x14ac:dyDescent="0.2">
      <c r="A106" s="75">
        <v>283</v>
      </c>
      <c r="B106" s="76" t="s">
        <v>58</v>
      </c>
      <c r="C106" s="7">
        <v>5000</v>
      </c>
      <c r="D106" s="7"/>
      <c r="E106" s="7"/>
      <c r="F106" s="7"/>
      <c r="G106" s="7">
        <f t="shared" si="4"/>
        <v>5000</v>
      </c>
      <c r="H106" s="6"/>
      <c r="I106" s="6">
        <v>132</v>
      </c>
      <c r="J106" s="6">
        <v>189.5</v>
      </c>
      <c r="K106" s="6"/>
      <c r="L106" s="6"/>
      <c r="M106" s="6"/>
      <c r="N106" s="78">
        <f t="shared" si="5"/>
        <v>321.5</v>
      </c>
    </row>
    <row r="107" spans="1:14" ht="23.25" customHeight="1" x14ac:dyDescent="0.2">
      <c r="A107" s="75" t="s">
        <v>99</v>
      </c>
      <c r="B107" s="76" t="s">
        <v>59</v>
      </c>
      <c r="C107" s="7">
        <v>5000</v>
      </c>
      <c r="D107" s="7"/>
      <c r="E107" s="7"/>
      <c r="F107" s="7"/>
      <c r="G107" s="7">
        <f t="shared" si="4"/>
        <v>5000</v>
      </c>
      <c r="H107" s="6">
        <f>772.6+160</f>
        <v>932.6</v>
      </c>
      <c r="I107" s="6"/>
      <c r="J107" s="6"/>
      <c r="K107" s="6"/>
      <c r="L107" s="6"/>
      <c r="M107" s="6"/>
      <c r="N107" s="78">
        <f t="shared" si="5"/>
        <v>932.6</v>
      </c>
    </row>
    <row r="108" spans="1:14" ht="22.5" x14ac:dyDescent="0.2">
      <c r="A108" s="75" t="s">
        <v>100</v>
      </c>
      <c r="B108" s="76" t="s">
        <v>60</v>
      </c>
      <c r="C108" s="7">
        <v>3000</v>
      </c>
      <c r="D108" s="7"/>
      <c r="E108" s="7"/>
      <c r="F108" s="7"/>
      <c r="G108" s="7">
        <f t="shared" si="4"/>
        <v>3000</v>
      </c>
      <c r="H108" s="6"/>
      <c r="I108" s="6">
        <v>429.01</v>
      </c>
      <c r="J108" s="6"/>
      <c r="K108" s="6">
        <v>517.1</v>
      </c>
      <c r="L108" s="6"/>
      <c r="M108" s="6"/>
      <c r="N108" s="78">
        <f t="shared" si="5"/>
        <v>946.11</v>
      </c>
    </row>
    <row r="109" spans="1:14" ht="22.5" x14ac:dyDescent="0.2">
      <c r="A109" s="75">
        <v>294</v>
      </c>
      <c r="B109" s="76" t="s">
        <v>61</v>
      </c>
      <c r="C109" s="7">
        <v>250000</v>
      </c>
      <c r="D109" s="7"/>
      <c r="E109" s="7"/>
      <c r="F109" s="7"/>
      <c r="G109" s="7">
        <f t="shared" si="4"/>
        <v>250000</v>
      </c>
      <c r="H109" s="6">
        <v>8960</v>
      </c>
      <c r="I109" s="6">
        <v>5360</v>
      </c>
      <c r="J109" s="6">
        <v>3380</v>
      </c>
      <c r="K109" s="6">
        <v>29155</v>
      </c>
      <c r="L109" s="6">
        <f>24500+3480+43200+6085</f>
        <v>77265</v>
      </c>
      <c r="M109" s="6"/>
      <c r="N109" s="78">
        <f t="shared" si="5"/>
        <v>124120</v>
      </c>
    </row>
    <row r="110" spans="1:14" ht="22.5" x14ac:dyDescent="0.2">
      <c r="A110" s="75" t="s">
        <v>101</v>
      </c>
      <c r="B110" s="76" t="s">
        <v>62</v>
      </c>
      <c r="C110" s="7">
        <v>15000</v>
      </c>
      <c r="D110" s="7"/>
      <c r="E110" s="7"/>
      <c r="F110" s="7"/>
      <c r="G110" s="7">
        <f t="shared" si="4"/>
        <v>15000</v>
      </c>
      <c r="H110" s="6"/>
      <c r="I110" s="6"/>
      <c r="J110" s="6"/>
      <c r="K110" s="6"/>
      <c r="L110" s="6">
        <f>858+140.9</f>
        <v>998.9</v>
      </c>
      <c r="M110" s="6"/>
      <c r="N110" s="78">
        <f t="shared" si="5"/>
        <v>998.9</v>
      </c>
    </row>
    <row r="111" spans="1:14" x14ac:dyDescent="0.2">
      <c r="A111" s="81" t="s">
        <v>102</v>
      </c>
      <c r="B111" s="82" t="s">
        <v>63</v>
      </c>
      <c r="C111" s="7"/>
      <c r="D111" s="7"/>
      <c r="E111" s="7"/>
      <c r="F111" s="7"/>
      <c r="G111" s="7">
        <f t="shared" si="4"/>
        <v>0</v>
      </c>
      <c r="H111" s="6"/>
      <c r="I111" s="6"/>
      <c r="J111" s="6"/>
      <c r="K111" s="6"/>
      <c r="L111" s="6"/>
      <c r="M111" s="6"/>
      <c r="N111" s="78">
        <f t="shared" si="5"/>
        <v>0</v>
      </c>
    </row>
    <row r="112" spans="1:14" x14ac:dyDescent="0.2">
      <c r="A112" s="75">
        <v>322</v>
      </c>
      <c r="B112" s="76" t="s">
        <v>64</v>
      </c>
      <c r="C112" s="7">
        <v>35000</v>
      </c>
      <c r="D112" s="7"/>
      <c r="E112" s="7"/>
      <c r="F112" s="7"/>
      <c r="G112" s="7">
        <f t="shared" si="4"/>
        <v>35000</v>
      </c>
      <c r="H112" s="6"/>
      <c r="I112" s="6"/>
      <c r="J112" s="6"/>
      <c r="K112" s="6"/>
      <c r="L112" s="6"/>
      <c r="M112" s="6"/>
      <c r="N112" s="78">
        <f t="shared" si="5"/>
        <v>0</v>
      </c>
    </row>
    <row r="113" spans="1:14" ht="22.5" x14ac:dyDescent="0.2">
      <c r="A113" s="75">
        <v>324</v>
      </c>
      <c r="B113" s="76" t="s">
        <v>80</v>
      </c>
      <c r="C113" s="7">
        <v>20000</v>
      </c>
      <c r="D113" s="7"/>
      <c r="E113" s="7"/>
      <c r="F113" s="7"/>
      <c r="G113" s="7">
        <f t="shared" si="4"/>
        <v>20000</v>
      </c>
      <c r="H113" s="6"/>
      <c r="I113" s="6"/>
      <c r="J113" s="6"/>
      <c r="K113" s="6"/>
      <c r="L113" s="6"/>
      <c r="M113" s="6"/>
      <c r="N113" s="78">
        <f t="shared" si="5"/>
        <v>0</v>
      </c>
    </row>
    <row r="114" spans="1:14" x14ac:dyDescent="0.2">
      <c r="A114" s="75">
        <v>328</v>
      </c>
      <c r="B114" s="76" t="s">
        <v>65</v>
      </c>
      <c r="C114" s="7">
        <v>25000</v>
      </c>
      <c r="D114" s="7"/>
      <c r="E114" s="7"/>
      <c r="F114" s="7"/>
      <c r="G114" s="7">
        <f t="shared" si="4"/>
        <v>25000</v>
      </c>
      <c r="H114" s="6">
        <v>360</v>
      </c>
      <c r="I114" s="6"/>
      <c r="J114" s="6"/>
      <c r="K114" s="6"/>
      <c r="L114" s="6"/>
      <c r="M114" s="6"/>
      <c r="N114" s="78">
        <f t="shared" si="5"/>
        <v>360</v>
      </c>
    </row>
    <row r="115" spans="1:14" x14ac:dyDescent="0.2">
      <c r="A115" s="75">
        <v>329</v>
      </c>
      <c r="B115" s="76"/>
      <c r="C115" s="7"/>
      <c r="D115" s="7"/>
      <c r="E115" s="7"/>
      <c r="F115" s="7"/>
      <c r="G115" s="7">
        <f t="shared" si="4"/>
        <v>0</v>
      </c>
      <c r="H115" s="63"/>
      <c r="I115" s="63"/>
      <c r="J115" s="63"/>
      <c r="K115" s="63"/>
      <c r="L115" s="63"/>
      <c r="M115" s="63"/>
      <c r="N115" s="78">
        <f t="shared" si="5"/>
        <v>0</v>
      </c>
    </row>
    <row r="116" spans="1:14" x14ac:dyDescent="0.2">
      <c r="A116" s="81" t="s">
        <v>103</v>
      </c>
      <c r="B116" s="76" t="s">
        <v>66</v>
      </c>
      <c r="C116" s="7"/>
      <c r="D116" s="7"/>
      <c r="E116" s="7"/>
      <c r="F116" s="7"/>
      <c r="G116" s="7">
        <f t="shared" si="4"/>
        <v>0</v>
      </c>
      <c r="H116" s="6"/>
      <c r="I116" s="6"/>
      <c r="J116" s="6"/>
      <c r="K116" s="6"/>
      <c r="L116" s="6"/>
      <c r="M116" s="6"/>
      <c r="N116" s="78">
        <f t="shared" si="5"/>
        <v>0</v>
      </c>
    </row>
    <row r="117" spans="1:14" x14ac:dyDescent="0.2">
      <c r="A117" s="75" t="s">
        <v>104</v>
      </c>
      <c r="B117" s="76" t="s">
        <v>67</v>
      </c>
      <c r="C117" s="7">
        <v>80510.5</v>
      </c>
      <c r="D117" s="7"/>
      <c r="E117" s="7"/>
      <c r="F117" s="7"/>
      <c r="G117" s="7">
        <f t="shared" si="4"/>
        <v>80510.5</v>
      </c>
      <c r="H117" s="6"/>
      <c r="I117" s="6"/>
      <c r="J117" s="6"/>
      <c r="K117" s="6"/>
      <c r="L117" s="6">
        <v>3951.38</v>
      </c>
      <c r="M117" s="6"/>
      <c r="N117" s="78">
        <f t="shared" si="5"/>
        <v>3951.38</v>
      </c>
    </row>
    <row r="118" spans="1:14" ht="22.5" x14ac:dyDescent="0.2">
      <c r="A118" s="75">
        <v>415</v>
      </c>
      <c r="B118" s="76" t="s">
        <v>68</v>
      </c>
      <c r="C118" s="7">
        <v>0</v>
      </c>
      <c r="D118" s="7"/>
      <c r="E118" s="7"/>
      <c r="F118" s="7"/>
      <c r="G118" s="7">
        <f t="shared" si="4"/>
        <v>0</v>
      </c>
      <c r="H118" s="6"/>
      <c r="I118" s="6"/>
      <c r="J118" s="6"/>
      <c r="K118" s="6"/>
      <c r="L118" s="6">
        <v>1120.02</v>
      </c>
      <c r="M118" s="6"/>
      <c r="N118" s="78">
        <f t="shared" si="5"/>
        <v>1120.02</v>
      </c>
    </row>
    <row r="119" spans="1:14" ht="22.5" x14ac:dyDescent="0.2">
      <c r="A119" s="75">
        <v>419</v>
      </c>
      <c r="B119" s="76" t="s">
        <v>69</v>
      </c>
      <c r="C119" s="7">
        <v>378294.52</v>
      </c>
      <c r="D119" s="7"/>
      <c r="E119" s="7"/>
      <c r="F119" s="7"/>
      <c r="G119" s="7">
        <f t="shared" si="4"/>
        <v>378294.52</v>
      </c>
      <c r="H119" s="6">
        <f>3500+5600</f>
        <v>9100</v>
      </c>
      <c r="I119" s="6"/>
      <c r="J119" s="6">
        <f>6500+2500</f>
        <v>9000</v>
      </c>
      <c r="K119" s="6">
        <f>1500+1250</f>
        <v>2750</v>
      </c>
      <c r="L119" s="6"/>
      <c r="M119" s="6">
        <f>4782+3000+3000+1500+1500+1500+1500+2790+3600+3000+5100+1500</f>
        <v>32772</v>
      </c>
      <c r="N119" s="78">
        <f t="shared" si="5"/>
        <v>53622</v>
      </c>
    </row>
    <row r="120" spans="1:14" ht="33.75" x14ac:dyDescent="0.2">
      <c r="A120" s="75">
        <v>472</v>
      </c>
      <c r="B120" s="76" t="s">
        <v>70</v>
      </c>
      <c r="C120" s="7">
        <v>85000</v>
      </c>
      <c r="D120" s="7"/>
      <c r="E120" s="7"/>
      <c r="F120" s="7"/>
      <c r="G120" s="7">
        <f t="shared" si="4"/>
        <v>85000</v>
      </c>
      <c r="H120" s="6"/>
      <c r="I120" s="6">
        <f>24230.25+3981.33</f>
        <v>28211.58</v>
      </c>
      <c r="J120" s="6">
        <v>6506.97</v>
      </c>
      <c r="K120" s="6">
        <v>30012.54</v>
      </c>
      <c r="L120" s="6"/>
      <c r="M120" s="6">
        <v>7846.19</v>
      </c>
      <c r="N120" s="78">
        <f t="shared" si="5"/>
        <v>72577.279999999999</v>
      </c>
    </row>
    <row r="121" spans="1:14" ht="22.5" x14ac:dyDescent="0.2">
      <c r="A121" s="75"/>
      <c r="B121" s="76" t="s">
        <v>105</v>
      </c>
      <c r="C121" s="7"/>
      <c r="D121" s="7"/>
      <c r="E121" s="7"/>
      <c r="F121" s="7"/>
      <c r="G121" s="7">
        <f t="shared" si="4"/>
        <v>0</v>
      </c>
      <c r="H121" s="39"/>
      <c r="I121" s="6"/>
      <c r="J121" s="6"/>
      <c r="K121" s="6"/>
      <c r="L121" s="6"/>
      <c r="M121" s="6"/>
      <c r="N121" s="78">
        <f t="shared" si="5"/>
        <v>0</v>
      </c>
    </row>
    <row r="122" spans="1:14" ht="22.5" x14ac:dyDescent="0.2">
      <c r="A122" s="75"/>
      <c r="B122" s="76" t="s">
        <v>111</v>
      </c>
      <c r="C122" s="7">
        <v>0</v>
      </c>
      <c r="D122" s="7"/>
      <c r="E122" s="7"/>
      <c r="F122" s="7"/>
      <c r="G122" s="7">
        <f t="shared" ref="G122:G136" si="6">+C122</f>
        <v>0</v>
      </c>
      <c r="H122" s="40">
        <v>1756.83</v>
      </c>
      <c r="I122" s="40">
        <v>1756.83</v>
      </c>
      <c r="J122" s="6">
        <v>2051.98</v>
      </c>
      <c r="K122" s="6">
        <v>2002.37</v>
      </c>
      <c r="L122" s="6">
        <v>2043.03</v>
      </c>
      <c r="M122" s="6">
        <v>1756.83</v>
      </c>
      <c r="N122" s="78">
        <f t="shared" ref="N122:N137" si="7">SUM(H122:M122)</f>
        <v>11367.869999999999</v>
      </c>
    </row>
    <row r="123" spans="1:14" x14ac:dyDescent="0.2">
      <c r="A123" s="75"/>
      <c r="B123" s="76" t="s">
        <v>112</v>
      </c>
      <c r="C123" s="7">
        <v>0</v>
      </c>
      <c r="D123" s="7"/>
      <c r="E123" s="7"/>
      <c r="F123" s="7"/>
      <c r="G123" s="7">
        <f t="shared" si="6"/>
        <v>0</v>
      </c>
      <c r="H123" s="40">
        <v>744.29</v>
      </c>
      <c r="I123" s="40">
        <v>744.29</v>
      </c>
      <c r="J123" s="6">
        <v>744.29</v>
      </c>
      <c r="K123" s="6">
        <v>587</v>
      </c>
      <c r="L123" s="6">
        <v>587</v>
      </c>
      <c r="M123" s="6">
        <v>587</v>
      </c>
      <c r="N123" s="78">
        <f t="shared" si="7"/>
        <v>3993.87</v>
      </c>
    </row>
    <row r="124" spans="1:14" x14ac:dyDescent="0.2">
      <c r="A124" s="75"/>
      <c r="B124" s="76" t="s">
        <v>113</v>
      </c>
      <c r="C124" s="7">
        <v>0</v>
      </c>
      <c r="D124" s="7"/>
      <c r="E124" s="7"/>
      <c r="F124" s="7"/>
      <c r="G124" s="7">
        <f t="shared" si="6"/>
        <v>0</v>
      </c>
      <c r="H124" s="40">
        <f>6081+3520+250</f>
        <v>9851</v>
      </c>
      <c r="I124" s="6">
        <v>500</v>
      </c>
      <c r="J124" s="6"/>
      <c r="K124" s="6">
        <v>900</v>
      </c>
      <c r="L124" s="6">
        <v>125</v>
      </c>
      <c r="M124" s="6"/>
      <c r="N124" s="78">
        <f t="shared" si="7"/>
        <v>11376</v>
      </c>
    </row>
    <row r="125" spans="1:14" ht="22.5" x14ac:dyDescent="0.2">
      <c r="A125" s="75"/>
      <c r="B125" s="76" t="s">
        <v>114</v>
      </c>
      <c r="C125" s="7">
        <v>0</v>
      </c>
      <c r="D125" s="7"/>
      <c r="E125" s="7"/>
      <c r="F125" s="7"/>
      <c r="G125" s="7">
        <f t="shared" si="6"/>
        <v>0</v>
      </c>
      <c r="H125" s="40"/>
      <c r="I125" s="6"/>
      <c r="J125" s="6"/>
      <c r="K125" s="6"/>
      <c r="L125" s="6"/>
      <c r="M125" s="6"/>
      <c r="N125" s="78">
        <f t="shared" si="7"/>
        <v>0</v>
      </c>
    </row>
    <row r="126" spans="1:14" x14ac:dyDescent="0.2">
      <c r="A126" s="75"/>
      <c r="B126" s="76" t="s">
        <v>115</v>
      </c>
      <c r="C126" s="7">
        <v>0</v>
      </c>
      <c r="D126" s="7"/>
      <c r="E126" s="7"/>
      <c r="F126" s="7"/>
      <c r="G126" s="7">
        <f t="shared" si="6"/>
        <v>0</v>
      </c>
      <c r="H126" s="40">
        <v>1352.4</v>
      </c>
      <c r="I126" s="6">
        <v>1383.8</v>
      </c>
      <c r="J126" s="6">
        <v>1383.8</v>
      </c>
      <c r="K126" s="6">
        <v>1383.8</v>
      </c>
      <c r="L126" s="6">
        <v>1383.8</v>
      </c>
      <c r="M126" s="6">
        <v>1383.8</v>
      </c>
      <c r="N126" s="78">
        <f t="shared" si="7"/>
        <v>8271.4</v>
      </c>
    </row>
    <row r="127" spans="1:14" x14ac:dyDescent="0.2">
      <c r="A127" s="75"/>
      <c r="B127" s="76" t="s">
        <v>127</v>
      </c>
      <c r="C127" s="7">
        <v>0</v>
      </c>
      <c r="D127" s="7"/>
      <c r="E127" s="7"/>
      <c r="F127" s="7"/>
      <c r="G127" s="7">
        <f t="shared" si="6"/>
        <v>0</v>
      </c>
      <c r="H127" s="40"/>
      <c r="I127" s="6"/>
      <c r="J127" s="6"/>
      <c r="K127" s="6"/>
      <c r="L127" s="6"/>
      <c r="M127" s="6"/>
      <c r="N127" s="78">
        <f t="shared" si="7"/>
        <v>0</v>
      </c>
    </row>
    <row r="128" spans="1:14" x14ac:dyDescent="0.2">
      <c r="A128" s="75"/>
      <c r="B128" s="76" t="s">
        <v>116</v>
      </c>
      <c r="C128" s="7">
        <v>0</v>
      </c>
      <c r="D128" s="7"/>
      <c r="E128" s="7"/>
      <c r="F128" s="7"/>
      <c r="G128" s="7">
        <f t="shared" si="6"/>
        <v>0</v>
      </c>
      <c r="H128" s="40"/>
      <c r="I128" s="6"/>
      <c r="J128" s="6"/>
      <c r="K128" s="6"/>
      <c r="L128" s="6"/>
      <c r="M128" s="6"/>
      <c r="N128" s="78">
        <f t="shared" si="7"/>
        <v>0</v>
      </c>
    </row>
    <row r="129" spans="1:14" ht="22.5" x14ac:dyDescent="0.2">
      <c r="A129" s="75"/>
      <c r="B129" s="76" t="s">
        <v>134</v>
      </c>
      <c r="C129" s="7">
        <v>0</v>
      </c>
      <c r="D129" s="7"/>
      <c r="E129" s="7"/>
      <c r="F129" s="7"/>
      <c r="G129" s="7">
        <f t="shared" si="6"/>
        <v>0</v>
      </c>
      <c r="H129" s="40"/>
      <c r="I129" s="6"/>
      <c r="J129" s="6"/>
      <c r="K129" s="6"/>
      <c r="L129" s="6"/>
      <c r="M129" s="6">
        <v>328.08</v>
      </c>
      <c r="N129" s="78">
        <f t="shared" si="7"/>
        <v>328.08</v>
      </c>
    </row>
    <row r="130" spans="1:14" ht="22.5" x14ac:dyDescent="0.2">
      <c r="A130" s="75"/>
      <c r="B130" s="76" t="s">
        <v>117</v>
      </c>
      <c r="C130" s="7">
        <v>0</v>
      </c>
      <c r="D130" s="7"/>
      <c r="E130" s="7"/>
      <c r="F130" s="7"/>
      <c r="G130" s="7">
        <f t="shared" si="6"/>
        <v>0</v>
      </c>
      <c r="H130" s="40"/>
      <c r="I130" s="6"/>
      <c r="J130" s="6"/>
      <c r="K130" s="6"/>
      <c r="L130" s="6">
        <v>1152.71</v>
      </c>
      <c r="M130" s="6"/>
      <c r="N130" s="78">
        <f t="shared" si="7"/>
        <v>1152.71</v>
      </c>
    </row>
    <row r="131" spans="1:14" x14ac:dyDescent="0.2">
      <c r="A131" s="75"/>
      <c r="B131" s="76" t="s">
        <v>118</v>
      </c>
      <c r="C131" s="7">
        <v>0</v>
      </c>
      <c r="D131" s="7"/>
      <c r="E131" s="7"/>
      <c r="F131" s="7"/>
      <c r="G131" s="7">
        <f t="shared" si="6"/>
        <v>0</v>
      </c>
      <c r="H131" s="40">
        <v>229.15</v>
      </c>
      <c r="I131" s="6">
        <v>309.79000000000002</v>
      </c>
      <c r="J131" s="6">
        <v>309.79000000000002</v>
      </c>
      <c r="K131" s="6">
        <v>309.79000000000002</v>
      </c>
      <c r="L131" s="6">
        <v>309.79000000000002</v>
      </c>
      <c r="M131" s="6">
        <v>309.79000000000002</v>
      </c>
      <c r="N131" s="78">
        <f t="shared" si="7"/>
        <v>1778.1</v>
      </c>
    </row>
    <row r="132" spans="1:14" x14ac:dyDescent="0.2">
      <c r="A132" s="75"/>
      <c r="B132" s="76" t="s">
        <v>119</v>
      </c>
      <c r="C132" s="7">
        <v>0</v>
      </c>
      <c r="D132" s="7"/>
      <c r="E132" s="7"/>
      <c r="F132" s="7"/>
      <c r="G132" s="7">
        <f t="shared" si="6"/>
        <v>0</v>
      </c>
      <c r="H132" s="40">
        <f>1245+1584.3+946</f>
        <v>3775.3</v>
      </c>
      <c r="I132" s="6">
        <v>972</v>
      </c>
      <c r="J132" s="6"/>
      <c r="K132" s="6">
        <v>1914</v>
      </c>
      <c r="L132" s="6">
        <f>37.5+822</f>
        <v>859.5</v>
      </c>
      <c r="M132" s="6">
        <f>252+210+180+180</f>
        <v>822</v>
      </c>
      <c r="N132" s="78">
        <f t="shared" si="7"/>
        <v>8342.7999999999993</v>
      </c>
    </row>
    <row r="133" spans="1:14" x14ac:dyDescent="0.2">
      <c r="A133" s="75"/>
      <c r="B133" s="76" t="s">
        <v>126</v>
      </c>
      <c r="C133" s="7">
        <v>0</v>
      </c>
      <c r="D133" s="7"/>
      <c r="E133" s="7"/>
      <c r="F133" s="7"/>
      <c r="G133" s="7">
        <f t="shared" si="6"/>
        <v>0</v>
      </c>
      <c r="H133" s="40"/>
      <c r="I133" s="6"/>
      <c r="J133" s="6"/>
      <c r="K133" s="6"/>
      <c r="L133" s="6"/>
      <c r="M133" s="6"/>
      <c r="N133" s="78">
        <f t="shared" si="7"/>
        <v>0</v>
      </c>
    </row>
    <row r="134" spans="1:14" ht="33.75" x14ac:dyDescent="0.2">
      <c r="A134" s="75"/>
      <c r="B134" s="76" t="s">
        <v>121</v>
      </c>
      <c r="C134" s="7"/>
      <c r="D134" s="7"/>
      <c r="E134" s="7"/>
      <c r="F134" s="7"/>
      <c r="G134" s="7">
        <f t="shared" si="6"/>
        <v>0</v>
      </c>
      <c r="H134" s="39"/>
      <c r="I134" s="6"/>
      <c r="J134" s="6"/>
      <c r="K134" s="6"/>
      <c r="L134" s="6"/>
      <c r="M134" s="6"/>
      <c r="N134" s="78">
        <f t="shared" si="7"/>
        <v>0</v>
      </c>
    </row>
    <row r="135" spans="1:14" ht="33.75" x14ac:dyDescent="0.2">
      <c r="A135" s="75"/>
      <c r="B135" s="76" t="s">
        <v>120</v>
      </c>
      <c r="C135" s="7"/>
      <c r="D135" s="7"/>
      <c r="E135" s="7"/>
      <c r="F135" s="7"/>
      <c r="G135" s="7">
        <f t="shared" si="6"/>
        <v>0</v>
      </c>
      <c r="H135" s="39"/>
      <c r="I135" s="6"/>
      <c r="J135" s="6"/>
      <c r="K135" s="6"/>
      <c r="L135" s="6"/>
      <c r="M135" s="6"/>
      <c r="N135" s="78">
        <f t="shared" si="7"/>
        <v>0</v>
      </c>
    </row>
    <row r="136" spans="1:14" ht="45" x14ac:dyDescent="0.2">
      <c r="A136" s="75"/>
      <c r="B136" s="76" t="s">
        <v>135</v>
      </c>
      <c r="C136" s="7">
        <v>163556.72</v>
      </c>
      <c r="D136" s="7"/>
      <c r="E136" s="7"/>
      <c r="F136" s="7"/>
      <c r="G136" s="7">
        <f t="shared" si="6"/>
        <v>163556.72</v>
      </c>
      <c r="H136" s="40"/>
      <c r="I136" s="6"/>
      <c r="J136" s="6"/>
      <c r="K136" s="6"/>
      <c r="L136" s="6"/>
      <c r="M136" s="6"/>
      <c r="N136" s="78">
        <f t="shared" si="7"/>
        <v>0</v>
      </c>
    </row>
    <row r="137" spans="1:14" x14ac:dyDescent="0.2">
      <c r="A137" s="75"/>
      <c r="B137" s="76" t="s">
        <v>136</v>
      </c>
      <c r="C137" s="7"/>
      <c r="D137" s="7"/>
      <c r="E137" s="7"/>
      <c r="F137" s="7"/>
      <c r="G137" s="7"/>
      <c r="H137" s="40"/>
      <c r="I137" s="6"/>
      <c r="J137" s="6"/>
      <c r="K137" s="6"/>
      <c r="L137" s="6"/>
      <c r="M137" s="6"/>
      <c r="N137" s="78">
        <f t="shared" si="7"/>
        <v>0</v>
      </c>
    </row>
    <row r="138" spans="1:14" ht="12.75" thickBot="1" x14ac:dyDescent="0.25">
      <c r="A138" s="83"/>
      <c r="B138" s="84" t="s">
        <v>71</v>
      </c>
      <c r="C138" s="62">
        <f t="shared" ref="C138:I138" si="8">SUM(C56:C136)</f>
        <v>5035294.13</v>
      </c>
      <c r="D138" s="62">
        <f t="shared" si="8"/>
        <v>0</v>
      </c>
      <c r="E138" s="62">
        <f t="shared" si="8"/>
        <v>0</v>
      </c>
      <c r="F138" s="62">
        <f t="shared" si="8"/>
        <v>0</v>
      </c>
      <c r="G138" s="62">
        <f t="shared" si="8"/>
        <v>5035294.13</v>
      </c>
      <c r="H138" s="62">
        <f t="shared" si="8"/>
        <v>240394.66999999998</v>
      </c>
      <c r="I138" s="62">
        <f t="shared" si="8"/>
        <v>242204.68999999997</v>
      </c>
      <c r="J138" s="62">
        <f t="shared" ref="J138:K138" si="9">SUM(J56:J136)</f>
        <v>565853.31000000006</v>
      </c>
      <c r="K138" s="62">
        <f t="shared" si="9"/>
        <v>342760.21999999991</v>
      </c>
      <c r="L138" s="62">
        <f t="shared" ref="L138:N138" si="10">SUM(L56:L136)</f>
        <v>485028.91000000009</v>
      </c>
      <c r="M138" s="62">
        <f t="shared" si="10"/>
        <v>217507.19</v>
      </c>
      <c r="N138" s="85">
        <f t="shared" si="10"/>
        <v>2093748.9900000005</v>
      </c>
    </row>
    <row r="139" spans="1:14" ht="23.25" thickBot="1" x14ac:dyDescent="0.25">
      <c r="A139" s="24"/>
      <c r="B139" s="26" t="s">
        <v>130</v>
      </c>
      <c r="C139" s="25"/>
      <c r="D139" s="25"/>
      <c r="E139" s="25"/>
      <c r="F139" s="25"/>
      <c r="G139" s="25"/>
      <c r="H139" s="25"/>
      <c r="I139" s="63"/>
      <c r="J139" s="65"/>
      <c r="K139" s="65"/>
      <c r="L139" s="65"/>
      <c r="M139" s="65"/>
    </row>
    <row r="140" spans="1:14" x14ac:dyDescent="0.2">
      <c r="C140" s="47"/>
    </row>
    <row r="141" spans="1:14" x14ac:dyDescent="0.2">
      <c r="G141" s="47"/>
    </row>
  </sheetData>
  <mergeCells count="32">
    <mergeCell ref="B44:N44"/>
    <mergeCell ref="B45:N45"/>
    <mergeCell ref="D18:F18"/>
    <mergeCell ref="D54:F54"/>
    <mergeCell ref="B16:G16"/>
    <mergeCell ref="B48:H48"/>
    <mergeCell ref="B49:H49"/>
    <mergeCell ref="B51:H51"/>
    <mergeCell ref="B52:H52"/>
    <mergeCell ref="B17:G17"/>
    <mergeCell ref="B53:H53"/>
    <mergeCell ref="B46:N46"/>
    <mergeCell ref="B38:N38"/>
    <mergeCell ref="B39:N39"/>
    <mergeCell ref="B40:N40"/>
    <mergeCell ref="B41:N41"/>
    <mergeCell ref="B42:N42"/>
    <mergeCell ref="B43:N43"/>
    <mergeCell ref="B14:H14"/>
    <mergeCell ref="B15:H15"/>
    <mergeCell ref="B13:H13"/>
    <mergeCell ref="B12:O12"/>
    <mergeCell ref="B1:O1"/>
    <mergeCell ref="B2:O2"/>
    <mergeCell ref="B3:O3"/>
    <mergeCell ref="B4:O4"/>
    <mergeCell ref="B5:O5"/>
    <mergeCell ref="B6:O6"/>
    <mergeCell ref="B7:O7"/>
    <mergeCell ref="B8:O8"/>
    <mergeCell ref="B10:O10"/>
    <mergeCell ref="B11:O11"/>
  </mergeCells>
  <pageMargins left="1.5748031496062993" right="0.51181102362204722" top="1.5748031496062993" bottom="1.1811023622047245" header="0.31496062992125984" footer="0.31496062992125984"/>
  <pageSetup scale="65" orientation="landscape" r:id="rId1"/>
  <headerFooter>
    <oddFooter>Página &amp;P</oddFooter>
  </headerFooter>
  <ignoredErrors>
    <ignoredError sqref="A95:F95 A62:B63 A64:B92 A93:B94 A111:F111 A96:F110 A116:F116 A112:F115 A121:F135 A117:F120 D62:F63 D64:F92 D93:F9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7"/>
  <sheetViews>
    <sheetView tabSelected="1" topLeftCell="A22" workbookViewId="0">
      <selection activeCell="H40" sqref="H40"/>
    </sheetView>
  </sheetViews>
  <sheetFormatPr baseColWidth="10" defaultColWidth="11" defaultRowHeight="12" x14ac:dyDescent="0.2"/>
  <cols>
    <col min="1" max="1" width="8.28515625" style="2" customWidth="1"/>
    <col min="2" max="2" width="24.7109375" style="2" customWidth="1"/>
    <col min="3" max="3" width="16" style="2" customWidth="1"/>
    <col min="4" max="4" width="12.85546875" style="2" customWidth="1"/>
    <col min="5" max="5" width="12.28515625" style="2" customWidth="1"/>
    <col min="6" max="6" width="13.7109375" style="2" customWidth="1"/>
    <col min="7" max="7" width="13.42578125" style="2" customWidth="1"/>
    <col min="8" max="16384" width="11" style="2"/>
  </cols>
  <sheetData>
    <row r="1" spans="2:15" x14ac:dyDescent="0.2">
      <c r="B1" s="86" t="s">
        <v>79</v>
      </c>
      <c r="C1" s="86"/>
      <c r="D1" s="86"/>
      <c r="E1" s="86"/>
      <c r="F1" s="86"/>
      <c r="G1" s="86"/>
    </row>
    <row r="2" spans="2:15" x14ac:dyDescent="0.2">
      <c r="B2" s="86" t="s">
        <v>72</v>
      </c>
      <c r="C2" s="86"/>
      <c r="D2" s="86"/>
      <c r="E2" s="86"/>
      <c r="F2" s="86"/>
      <c r="G2" s="86"/>
    </row>
    <row r="3" spans="2:15" x14ac:dyDescent="0.2">
      <c r="B3" s="86" t="s">
        <v>73</v>
      </c>
      <c r="C3" s="86"/>
      <c r="D3" s="86"/>
      <c r="E3" s="86"/>
      <c r="F3" s="86"/>
      <c r="G3" s="86"/>
    </row>
    <row r="4" spans="2:15" x14ac:dyDescent="0.2">
      <c r="B4" s="86" t="s">
        <v>74</v>
      </c>
      <c r="C4" s="86"/>
      <c r="D4" s="86"/>
      <c r="E4" s="86"/>
      <c r="F4" s="86"/>
      <c r="G4" s="86"/>
    </row>
    <row r="5" spans="2:15" x14ac:dyDescent="0.2">
      <c r="B5" s="86" t="s">
        <v>133</v>
      </c>
      <c r="C5" s="86"/>
      <c r="D5" s="86"/>
      <c r="E5" s="86"/>
      <c r="F5" s="86"/>
      <c r="G5" s="86"/>
    </row>
    <row r="6" spans="2:15" x14ac:dyDescent="0.2">
      <c r="B6" s="86" t="s">
        <v>144</v>
      </c>
      <c r="C6" s="86"/>
      <c r="D6" s="86"/>
      <c r="E6" s="86"/>
      <c r="F6" s="86"/>
      <c r="G6" s="86"/>
      <c r="H6" s="3"/>
      <c r="I6" s="3"/>
      <c r="J6" s="3"/>
      <c r="K6" s="3"/>
      <c r="L6" s="3"/>
      <c r="M6" s="3"/>
      <c r="N6" s="3"/>
      <c r="O6" s="3"/>
    </row>
    <row r="7" spans="2:15" x14ac:dyDescent="0.2">
      <c r="B7" s="86" t="s">
        <v>131</v>
      </c>
      <c r="C7" s="86"/>
      <c r="D7" s="86"/>
      <c r="E7" s="86"/>
      <c r="F7" s="86"/>
      <c r="G7" s="86"/>
    </row>
    <row r="8" spans="2:15" x14ac:dyDescent="0.2">
      <c r="B8" s="86" t="s">
        <v>147</v>
      </c>
      <c r="C8" s="86"/>
      <c r="D8" s="86"/>
      <c r="E8" s="86"/>
      <c r="F8" s="86"/>
      <c r="G8" s="86"/>
    </row>
    <row r="9" spans="2:15" x14ac:dyDescent="0.2">
      <c r="B9" s="3"/>
      <c r="C9" s="3"/>
      <c r="D9" s="3"/>
      <c r="E9" s="3"/>
      <c r="F9" s="3"/>
      <c r="G9" s="3"/>
    </row>
    <row r="10" spans="2:15" x14ac:dyDescent="0.2">
      <c r="B10" s="86" t="s">
        <v>75</v>
      </c>
      <c r="C10" s="86"/>
      <c r="D10" s="86"/>
      <c r="E10" s="86"/>
      <c r="F10" s="86"/>
      <c r="G10" s="86"/>
    </row>
    <row r="11" spans="2:15" x14ac:dyDescent="0.2">
      <c r="B11" s="86" t="s">
        <v>76</v>
      </c>
      <c r="C11" s="86"/>
      <c r="D11" s="86"/>
      <c r="E11" s="86"/>
      <c r="F11" s="86"/>
      <c r="G11" s="86"/>
    </row>
    <row r="12" spans="2:15" x14ac:dyDescent="0.2">
      <c r="B12" s="86" t="s">
        <v>77</v>
      </c>
      <c r="C12" s="86"/>
      <c r="D12" s="86"/>
      <c r="E12" s="86"/>
      <c r="F12" s="86"/>
      <c r="G12" s="86"/>
    </row>
    <row r="13" spans="2:15" ht="20.25" customHeight="1" x14ac:dyDescent="0.2">
      <c r="B13" s="86"/>
      <c r="C13" s="86"/>
      <c r="D13" s="86"/>
      <c r="E13" s="86"/>
      <c r="F13" s="86"/>
      <c r="G13" s="86"/>
    </row>
    <row r="14" spans="2:15" x14ac:dyDescent="0.2">
      <c r="B14" s="86" t="s">
        <v>106</v>
      </c>
      <c r="C14" s="86"/>
      <c r="D14" s="86"/>
      <c r="E14" s="86"/>
      <c r="F14" s="86"/>
      <c r="G14" s="86"/>
    </row>
    <row r="15" spans="2:15" ht="13.5" customHeight="1" thickBot="1" x14ac:dyDescent="0.25">
      <c r="B15" s="87" t="s">
        <v>0</v>
      </c>
      <c r="C15" s="87"/>
      <c r="D15" s="87"/>
      <c r="E15" s="87"/>
      <c r="F15" s="87"/>
      <c r="G15" s="87"/>
    </row>
    <row r="16" spans="2:15" ht="13.5" customHeight="1" thickBot="1" x14ac:dyDescent="0.25">
      <c r="B16" s="10"/>
      <c r="C16" s="10"/>
      <c r="D16" s="10"/>
      <c r="E16" s="10"/>
      <c r="F16" s="10"/>
      <c r="G16" s="10"/>
    </row>
    <row r="17" spans="2:7" ht="27" x14ac:dyDescent="0.2">
      <c r="B17" s="29" t="s">
        <v>2</v>
      </c>
      <c r="C17" s="30" t="s">
        <v>107</v>
      </c>
      <c r="D17" s="31" t="s">
        <v>3</v>
      </c>
      <c r="E17" s="31" t="s">
        <v>4</v>
      </c>
      <c r="F17" s="32" t="s">
        <v>108</v>
      </c>
      <c r="G17" s="31" t="s">
        <v>5</v>
      </c>
    </row>
    <row r="18" spans="2:7" ht="12.75" x14ac:dyDescent="0.2">
      <c r="B18" s="33" t="s">
        <v>7</v>
      </c>
      <c r="C18" s="16">
        <v>505764.35666666646</v>
      </c>
      <c r="D18" s="8"/>
      <c r="E18" s="8"/>
      <c r="F18" s="8"/>
      <c r="G18" s="8">
        <f>+C18</f>
        <v>505764.35666666646</v>
      </c>
    </row>
    <row r="19" spans="2:7" ht="12.75" x14ac:dyDescent="0.2">
      <c r="B19" s="35" t="s">
        <v>8</v>
      </c>
      <c r="C19" s="34">
        <v>4276114.22</v>
      </c>
      <c r="D19" s="34"/>
      <c r="E19" s="34"/>
      <c r="F19" s="34"/>
      <c r="G19" s="8">
        <f t="shared" ref="G19:G29" si="0">+C19+D19-E19+F19</f>
        <v>4276114.22</v>
      </c>
    </row>
    <row r="20" spans="2:7" ht="12.75" x14ac:dyDescent="0.2">
      <c r="B20" s="35" t="s">
        <v>132</v>
      </c>
      <c r="C20" s="34"/>
      <c r="D20" s="34"/>
      <c r="E20" s="34"/>
      <c r="F20" s="34"/>
      <c r="G20" s="8">
        <f t="shared" si="0"/>
        <v>0</v>
      </c>
    </row>
    <row r="21" spans="2:7" ht="25.5" x14ac:dyDescent="0.2">
      <c r="B21" s="35" t="s">
        <v>123</v>
      </c>
      <c r="C21" s="34"/>
      <c r="D21" s="34"/>
      <c r="E21" s="34"/>
      <c r="F21" s="34"/>
      <c r="G21" s="8">
        <f t="shared" si="0"/>
        <v>0</v>
      </c>
    </row>
    <row r="22" spans="2:7" ht="25.5" x14ac:dyDescent="0.2">
      <c r="B22" s="35" t="s">
        <v>9</v>
      </c>
      <c r="C22" s="8">
        <v>56355</v>
      </c>
      <c r="D22" s="8"/>
      <c r="E22" s="8"/>
      <c r="F22" s="8"/>
      <c r="G22" s="8">
        <f t="shared" si="0"/>
        <v>56355</v>
      </c>
    </row>
    <row r="23" spans="2:7" ht="12.75" x14ac:dyDescent="0.2">
      <c r="B23" s="35" t="s">
        <v>129</v>
      </c>
      <c r="C23" s="8"/>
      <c r="D23" s="8"/>
      <c r="E23" s="8"/>
      <c r="F23" s="8"/>
      <c r="G23" s="8">
        <f t="shared" si="0"/>
        <v>0</v>
      </c>
    </row>
    <row r="24" spans="2:7" ht="12.75" x14ac:dyDescent="0.2">
      <c r="B24" s="35" t="s">
        <v>10</v>
      </c>
      <c r="C24" s="8">
        <v>41119.82</v>
      </c>
      <c r="D24" s="8"/>
      <c r="E24" s="8"/>
      <c r="F24" s="8"/>
      <c r="G24" s="8">
        <f t="shared" si="0"/>
        <v>41119.82</v>
      </c>
    </row>
    <row r="25" spans="2:7" ht="12.75" x14ac:dyDescent="0.2">
      <c r="B25" s="35" t="s">
        <v>126</v>
      </c>
      <c r="C25" s="8">
        <v>547602.68999999994</v>
      </c>
      <c r="D25" s="8"/>
      <c r="E25" s="8"/>
      <c r="F25" s="8"/>
      <c r="G25" s="8">
        <f t="shared" si="0"/>
        <v>547602.68999999994</v>
      </c>
    </row>
    <row r="26" spans="2:7" ht="25.5" x14ac:dyDescent="0.2">
      <c r="B26" s="35" t="s">
        <v>11</v>
      </c>
      <c r="C26" s="8">
        <v>14000</v>
      </c>
      <c r="D26" s="34"/>
      <c r="E26" s="34"/>
      <c r="F26" s="34"/>
      <c r="G26" s="8">
        <f t="shared" si="0"/>
        <v>14000</v>
      </c>
    </row>
    <row r="27" spans="2:7" ht="12.75" x14ac:dyDescent="0.2">
      <c r="B27" s="35" t="s">
        <v>12</v>
      </c>
      <c r="C27" s="8">
        <v>5500</v>
      </c>
      <c r="D27" s="34"/>
      <c r="E27" s="34"/>
      <c r="F27" s="34"/>
      <c r="G27" s="8">
        <f t="shared" si="0"/>
        <v>5500</v>
      </c>
    </row>
    <row r="28" spans="2:7" ht="25.5" x14ac:dyDescent="0.2">
      <c r="B28" s="35" t="s">
        <v>109</v>
      </c>
      <c r="C28" s="27"/>
      <c r="D28" s="36"/>
      <c r="E28" s="36"/>
      <c r="F28" s="36"/>
      <c r="G28" s="8">
        <f t="shared" si="0"/>
        <v>0</v>
      </c>
    </row>
    <row r="29" spans="2:7" ht="25.5" x14ac:dyDescent="0.2">
      <c r="B29" s="35" t="s">
        <v>13</v>
      </c>
      <c r="C29" s="8"/>
      <c r="D29" s="8"/>
      <c r="E29" s="8"/>
      <c r="F29" s="8"/>
      <c r="G29" s="8">
        <f t="shared" si="0"/>
        <v>0</v>
      </c>
    </row>
    <row r="30" spans="2:7" ht="12.75" x14ac:dyDescent="0.2">
      <c r="B30" s="35" t="s">
        <v>124</v>
      </c>
      <c r="C30" s="8"/>
      <c r="D30" s="8"/>
      <c r="E30" s="8"/>
      <c r="F30" s="8"/>
      <c r="G30" s="8"/>
    </row>
    <row r="31" spans="2:7" ht="13.5" thickBot="1" x14ac:dyDescent="0.25">
      <c r="B31" s="37" t="s">
        <v>110</v>
      </c>
      <c r="C31" s="8"/>
      <c r="D31" s="8"/>
      <c r="E31" s="8"/>
      <c r="F31" s="8"/>
      <c r="G31" s="8">
        <f>C31+D31+E31-+F31</f>
        <v>0</v>
      </c>
    </row>
    <row r="32" spans="2:7" ht="13.5" thickBot="1" x14ac:dyDescent="0.25">
      <c r="B32" s="45" t="s">
        <v>14</v>
      </c>
      <c r="C32" s="46">
        <f t="shared" ref="C32:G32" si="1">SUM(C18:C31)</f>
        <v>5446456.086666666</v>
      </c>
      <c r="D32" s="46">
        <f t="shared" si="1"/>
        <v>0</v>
      </c>
      <c r="E32" s="46">
        <f t="shared" si="1"/>
        <v>0</v>
      </c>
      <c r="F32" s="46">
        <f t="shared" si="1"/>
        <v>0</v>
      </c>
      <c r="G32" s="46">
        <f t="shared" si="1"/>
        <v>5446456.086666666</v>
      </c>
    </row>
    <row r="33" spans="2:7" ht="12.75" x14ac:dyDescent="0.2">
      <c r="B33" s="13"/>
      <c r="C33" s="16"/>
      <c r="D33" s="16"/>
      <c r="E33" s="16"/>
      <c r="F33" s="16"/>
      <c r="G33" s="16"/>
    </row>
    <row r="34" spans="2:7" ht="12.75" x14ac:dyDescent="0.2">
      <c r="B34" s="13"/>
      <c r="C34" s="16"/>
      <c r="D34" s="16"/>
      <c r="E34" s="16"/>
      <c r="F34" s="16"/>
      <c r="G34" s="16"/>
    </row>
    <row r="35" spans="2:7" x14ac:dyDescent="0.2">
      <c r="B35" s="86" t="s">
        <v>79</v>
      </c>
      <c r="C35" s="86"/>
      <c r="D35" s="86"/>
      <c r="E35" s="86"/>
      <c r="F35" s="86"/>
      <c r="G35" s="86"/>
    </row>
    <row r="36" spans="2:7" x14ac:dyDescent="0.2">
      <c r="B36" s="86" t="s">
        <v>72</v>
      </c>
      <c r="C36" s="86"/>
      <c r="D36" s="86"/>
      <c r="E36" s="86"/>
      <c r="F36" s="86"/>
      <c r="G36" s="86"/>
    </row>
    <row r="37" spans="2:7" x14ac:dyDescent="0.2">
      <c r="B37" s="86" t="s">
        <v>73</v>
      </c>
      <c r="C37" s="86"/>
      <c r="D37" s="86"/>
      <c r="E37" s="86"/>
      <c r="F37" s="86"/>
      <c r="G37" s="86"/>
    </row>
    <row r="38" spans="2:7" x14ac:dyDescent="0.2">
      <c r="B38" s="86" t="s">
        <v>74</v>
      </c>
      <c r="C38" s="86"/>
      <c r="D38" s="86"/>
      <c r="E38" s="86"/>
      <c r="F38" s="86"/>
      <c r="G38" s="86"/>
    </row>
    <row r="39" spans="2:7" x14ac:dyDescent="0.2">
      <c r="B39" s="86" t="s">
        <v>133</v>
      </c>
      <c r="C39" s="86"/>
      <c r="D39" s="86"/>
      <c r="E39" s="86"/>
      <c r="F39" s="86"/>
      <c r="G39" s="86"/>
    </row>
    <row r="40" spans="2:7" x14ac:dyDescent="0.2">
      <c r="B40" s="86" t="s">
        <v>144</v>
      </c>
      <c r="C40" s="86"/>
      <c r="D40" s="86"/>
      <c r="E40" s="86"/>
      <c r="F40" s="86"/>
      <c r="G40" s="86"/>
    </row>
    <row r="41" spans="2:7" x14ac:dyDescent="0.2">
      <c r="B41" s="86" t="s">
        <v>131</v>
      </c>
      <c r="C41" s="86"/>
      <c r="D41" s="86"/>
      <c r="E41" s="86"/>
      <c r="F41" s="86"/>
      <c r="G41" s="86"/>
    </row>
    <row r="42" spans="2:7" x14ac:dyDescent="0.2">
      <c r="B42" s="86" t="s">
        <v>145</v>
      </c>
      <c r="C42" s="86"/>
      <c r="D42" s="86"/>
      <c r="E42" s="86"/>
      <c r="F42" s="86"/>
      <c r="G42" s="86"/>
    </row>
    <row r="43" spans="2:7" x14ac:dyDescent="0.2">
      <c r="B43" s="3"/>
      <c r="C43" s="3"/>
      <c r="D43" s="3"/>
      <c r="E43" s="3"/>
      <c r="F43" s="3"/>
      <c r="G43" s="3"/>
    </row>
    <row r="44" spans="2:7" x14ac:dyDescent="0.2">
      <c r="B44" s="86" t="s">
        <v>75</v>
      </c>
      <c r="C44" s="86"/>
      <c r="D44" s="86"/>
      <c r="E44" s="86"/>
      <c r="F44" s="86"/>
      <c r="G44" s="86"/>
    </row>
    <row r="45" spans="2:7" x14ac:dyDescent="0.2">
      <c r="B45" s="86" t="s">
        <v>76</v>
      </c>
      <c r="C45" s="86"/>
      <c r="D45" s="86"/>
      <c r="E45" s="86"/>
      <c r="F45" s="86"/>
      <c r="G45" s="86"/>
    </row>
    <row r="46" spans="2:7" x14ac:dyDescent="0.2">
      <c r="B46" s="5"/>
      <c r="C46" s="5"/>
      <c r="D46" s="5"/>
      <c r="E46" s="5"/>
      <c r="F46" s="5"/>
      <c r="G46" s="5"/>
    </row>
    <row r="47" spans="2:7" x14ac:dyDescent="0.2">
      <c r="B47" s="86" t="s">
        <v>77</v>
      </c>
      <c r="C47" s="86"/>
      <c r="D47" s="86"/>
      <c r="E47" s="86"/>
      <c r="F47" s="86"/>
      <c r="G47" s="86"/>
    </row>
    <row r="48" spans="2:7" x14ac:dyDescent="0.2">
      <c r="B48" s="86"/>
      <c r="C48" s="86"/>
      <c r="D48" s="86"/>
      <c r="E48" s="86"/>
      <c r="F48" s="86"/>
      <c r="G48" s="86"/>
    </row>
    <row r="49" spans="1:7" x14ac:dyDescent="0.2">
      <c r="B49" s="99" t="s">
        <v>106</v>
      </c>
      <c r="C49" s="99"/>
      <c r="D49" s="99"/>
      <c r="E49" s="99"/>
      <c r="F49" s="99"/>
      <c r="G49" s="99"/>
    </row>
    <row r="50" spans="1:7" x14ac:dyDescent="0.2">
      <c r="B50" s="1"/>
      <c r="C50" s="4"/>
      <c r="D50" s="9"/>
      <c r="E50" s="9"/>
      <c r="F50" s="9"/>
      <c r="G50" s="9"/>
    </row>
    <row r="51" spans="1:7" ht="12.75" thickBot="1" x14ac:dyDescent="0.25">
      <c r="B51" s="93" t="s">
        <v>77</v>
      </c>
      <c r="C51" s="93"/>
      <c r="D51" s="93"/>
      <c r="E51" s="93"/>
      <c r="F51" s="93"/>
      <c r="G51" s="9"/>
    </row>
    <row r="52" spans="1:7" ht="12.75" thickBot="1" x14ac:dyDescent="0.25">
      <c r="B52" s="94" t="s">
        <v>15</v>
      </c>
      <c r="C52" s="95"/>
      <c r="D52" s="96" t="s">
        <v>1</v>
      </c>
      <c r="E52" s="97"/>
      <c r="F52" s="98"/>
      <c r="G52" s="9"/>
    </row>
    <row r="53" spans="1:7" ht="27.75" thickBot="1" x14ac:dyDescent="0.25">
      <c r="A53" s="14"/>
      <c r="B53" s="54" t="s">
        <v>2</v>
      </c>
      <c r="C53" s="55" t="s">
        <v>107</v>
      </c>
      <c r="D53" s="56" t="s">
        <v>3</v>
      </c>
      <c r="E53" s="57" t="s">
        <v>4</v>
      </c>
      <c r="F53" s="58" t="s">
        <v>108</v>
      </c>
      <c r="G53" s="56" t="s">
        <v>5</v>
      </c>
    </row>
    <row r="54" spans="1:7" x14ac:dyDescent="0.2">
      <c r="A54" s="41">
        <v>0</v>
      </c>
      <c r="B54" s="59" t="s">
        <v>16</v>
      </c>
      <c r="C54" s="60"/>
      <c r="D54" s="60"/>
      <c r="E54" s="60"/>
      <c r="F54" s="60"/>
      <c r="G54" s="61"/>
    </row>
    <row r="55" spans="1:7" x14ac:dyDescent="0.2">
      <c r="A55" s="15">
        <v>11</v>
      </c>
      <c r="B55" s="48" t="s">
        <v>17</v>
      </c>
      <c r="C55" s="11">
        <v>343800</v>
      </c>
      <c r="D55" s="7"/>
      <c r="E55" s="7"/>
      <c r="F55" s="7"/>
      <c r="G55" s="7">
        <f>+C55</f>
        <v>343800</v>
      </c>
    </row>
    <row r="56" spans="1:7" ht="22.5" x14ac:dyDescent="0.2">
      <c r="A56" s="15">
        <v>15</v>
      </c>
      <c r="B56" s="48" t="s">
        <v>18</v>
      </c>
      <c r="C56" s="11">
        <v>12000</v>
      </c>
      <c r="D56" s="7"/>
      <c r="E56" s="7"/>
      <c r="F56" s="7"/>
      <c r="G56" s="7">
        <f t="shared" ref="G56:G119" si="2">+C56</f>
        <v>12000</v>
      </c>
    </row>
    <row r="57" spans="1:7" x14ac:dyDescent="0.2">
      <c r="A57" s="15">
        <v>51</v>
      </c>
      <c r="B57" s="48" t="s">
        <v>19</v>
      </c>
      <c r="C57" s="11">
        <v>36497.11</v>
      </c>
      <c r="D57" s="7"/>
      <c r="E57" s="7"/>
      <c r="F57" s="7"/>
      <c r="G57" s="7">
        <f t="shared" si="2"/>
        <v>36497.11</v>
      </c>
    </row>
    <row r="58" spans="1:7" x14ac:dyDescent="0.2">
      <c r="A58" s="15">
        <v>61</v>
      </c>
      <c r="B58" s="48" t="s">
        <v>20</v>
      </c>
      <c r="C58" s="11">
        <v>328300</v>
      </c>
      <c r="D58" s="7"/>
      <c r="E58" s="7"/>
      <c r="F58" s="7"/>
      <c r="G58" s="7">
        <f t="shared" si="2"/>
        <v>328300</v>
      </c>
    </row>
    <row r="59" spans="1:7" ht="22.5" x14ac:dyDescent="0.2">
      <c r="A59" s="15">
        <v>63</v>
      </c>
      <c r="B59" s="48" t="s">
        <v>21</v>
      </c>
      <c r="C59" s="11">
        <v>120000</v>
      </c>
      <c r="D59" s="7"/>
      <c r="E59" s="7"/>
      <c r="F59" s="7"/>
      <c r="G59" s="7">
        <f t="shared" si="2"/>
        <v>120000</v>
      </c>
    </row>
    <row r="60" spans="1:7" x14ac:dyDescent="0.2">
      <c r="A60" s="15" t="s">
        <v>81</v>
      </c>
      <c r="B60" s="48" t="s">
        <v>22</v>
      </c>
      <c r="C60" s="11">
        <v>33545.160000000003</v>
      </c>
      <c r="D60" s="7"/>
      <c r="E60" s="7"/>
      <c r="F60" s="12"/>
      <c r="G60" s="7">
        <f t="shared" si="2"/>
        <v>33545.160000000003</v>
      </c>
    </row>
    <row r="61" spans="1:7" ht="22.5" x14ac:dyDescent="0.2">
      <c r="A61" s="15">
        <v>72</v>
      </c>
      <c r="B61" s="48" t="s">
        <v>23</v>
      </c>
      <c r="C61" s="11">
        <v>33545.160000000003</v>
      </c>
      <c r="D61" s="7"/>
      <c r="E61" s="7"/>
      <c r="F61" s="7"/>
      <c r="G61" s="7">
        <f t="shared" si="2"/>
        <v>33545.160000000003</v>
      </c>
    </row>
    <row r="62" spans="1:7" x14ac:dyDescent="0.2">
      <c r="A62" s="42" t="s">
        <v>82</v>
      </c>
      <c r="B62" s="48" t="s">
        <v>24</v>
      </c>
      <c r="C62" s="11">
        <v>50000</v>
      </c>
      <c r="D62" s="7"/>
      <c r="E62" s="7"/>
      <c r="F62" s="7"/>
      <c r="G62" s="7">
        <f t="shared" si="2"/>
        <v>50000</v>
      </c>
    </row>
    <row r="63" spans="1:7" x14ac:dyDescent="0.2">
      <c r="A63" s="15" t="s">
        <v>83</v>
      </c>
      <c r="B63" s="48" t="s">
        <v>25</v>
      </c>
      <c r="C63" s="7">
        <v>0</v>
      </c>
      <c r="D63" s="7"/>
      <c r="E63" s="7"/>
      <c r="F63" s="7"/>
      <c r="G63" s="7">
        <f t="shared" si="2"/>
        <v>0</v>
      </c>
    </row>
    <row r="64" spans="1:7" x14ac:dyDescent="0.2">
      <c r="A64" s="15">
        <v>111</v>
      </c>
      <c r="B64" s="48" t="s">
        <v>26</v>
      </c>
      <c r="C64" s="7">
        <v>3800</v>
      </c>
      <c r="D64" s="7"/>
      <c r="E64" s="7"/>
      <c r="F64" s="7"/>
      <c r="G64" s="7">
        <f t="shared" si="2"/>
        <v>3800</v>
      </c>
    </row>
    <row r="65" spans="1:7" x14ac:dyDescent="0.2">
      <c r="A65" s="15">
        <v>112</v>
      </c>
      <c r="B65" s="48" t="s">
        <v>27</v>
      </c>
      <c r="C65" s="7">
        <v>5000</v>
      </c>
      <c r="D65" s="7"/>
      <c r="E65" s="7"/>
      <c r="F65" s="7"/>
      <c r="G65" s="7">
        <f t="shared" si="2"/>
        <v>5000</v>
      </c>
    </row>
    <row r="66" spans="1:7" x14ac:dyDescent="0.2">
      <c r="A66" s="15">
        <v>113</v>
      </c>
      <c r="B66" s="48" t="s">
        <v>28</v>
      </c>
      <c r="C66" s="7">
        <v>15000</v>
      </c>
      <c r="D66" s="7"/>
      <c r="E66" s="7"/>
      <c r="F66" s="7"/>
      <c r="G66" s="7">
        <f t="shared" si="2"/>
        <v>15000</v>
      </c>
    </row>
    <row r="67" spans="1:7" x14ac:dyDescent="0.2">
      <c r="A67" s="15">
        <v>114</v>
      </c>
      <c r="B67" s="48" t="s">
        <v>29</v>
      </c>
      <c r="C67" s="7">
        <v>1000</v>
      </c>
      <c r="D67" s="7"/>
      <c r="E67" s="7"/>
      <c r="F67" s="7"/>
      <c r="G67" s="7">
        <f t="shared" si="2"/>
        <v>1000</v>
      </c>
    </row>
    <row r="68" spans="1:7" ht="22.5" x14ac:dyDescent="0.2">
      <c r="A68" s="15">
        <v>115</v>
      </c>
      <c r="B68" s="48" t="s">
        <v>30</v>
      </c>
      <c r="C68" s="7">
        <v>600</v>
      </c>
      <c r="D68" s="7"/>
      <c r="E68" s="7"/>
      <c r="F68" s="7"/>
      <c r="G68" s="7">
        <f t="shared" si="2"/>
        <v>600</v>
      </c>
    </row>
    <row r="69" spans="1:7" x14ac:dyDescent="0.2">
      <c r="A69" s="15">
        <v>121</v>
      </c>
      <c r="B69" s="48" t="s">
        <v>31</v>
      </c>
      <c r="C69" s="7">
        <v>6000</v>
      </c>
      <c r="D69" s="7"/>
      <c r="E69" s="7"/>
      <c r="F69" s="7"/>
      <c r="G69" s="7">
        <f t="shared" si="2"/>
        <v>6000</v>
      </c>
    </row>
    <row r="70" spans="1:7" x14ac:dyDescent="0.2">
      <c r="A70" s="15">
        <v>122</v>
      </c>
      <c r="B70" s="48" t="s">
        <v>122</v>
      </c>
      <c r="C70" s="7">
        <v>7500</v>
      </c>
      <c r="D70" s="7"/>
      <c r="E70" s="7"/>
      <c r="F70" s="7"/>
      <c r="G70" s="7">
        <f t="shared" si="2"/>
        <v>7500</v>
      </c>
    </row>
    <row r="71" spans="1:7" x14ac:dyDescent="0.2">
      <c r="A71" s="15">
        <v>131</v>
      </c>
      <c r="B71" s="48" t="s">
        <v>32</v>
      </c>
      <c r="C71" s="7">
        <v>606288.66999999993</v>
      </c>
      <c r="D71" s="7"/>
      <c r="E71" s="7"/>
      <c r="F71" s="7"/>
      <c r="G71" s="7">
        <f t="shared" si="2"/>
        <v>606288.66999999993</v>
      </c>
    </row>
    <row r="72" spans="1:7" x14ac:dyDescent="0.2">
      <c r="A72" s="15" t="s">
        <v>84</v>
      </c>
      <c r="B72" s="48" t="s">
        <v>33</v>
      </c>
      <c r="C72" s="7">
        <v>150000</v>
      </c>
      <c r="D72" s="7"/>
      <c r="E72" s="7"/>
      <c r="F72" s="7"/>
      <c r="G72" s="7">
        <f t="shared" si="2"/>
        <v>150000</v>
      </c>
    </row>
    <row r="73" spans="1:7" x14ac:dyDescent="0.2">
      <c r="A73" s="15" t="s">
        <v>85</v>
      </c>
      <c r="B73" s="48" t="s">
        <v>34</v>
      </c>
      <c r="C73" s="7">
        <v>95000</v>
      </c>
      <c r="D73" s="7"/>
      <c r="E73" s="7"/>
      <c r="F73" s="7"/>
      <c r="G73" s="7">
        <f t="shared" si="2"/>
        <v>95000</v>
      </c>
    </row>
    <row r="74" spans="1:7" ht="22.5" x14ac:dyDescent="0.2">
      <c r="A74" s="15">
        <v>151</v>
      </c>
      <c r="B74" s="48" t="s">
        <v>35</v>
      </c>
      <c r="C74" s="7">
        <v>108900</v>
      </c>
      <c r="D74" s="7"/>
      <c r="E74" s="7"/>
      <c r="F74" s="7"/>
      <c r="G74" s="7">
        <f t="shared" si="2"/>
        <v>108900</v>
      </c>
    </row>
    <row r="75" spans="1:7" ht="22.5" x14ac:dyDescent="0.2">
      <c r="A75" s="15">
        <v>152</v>
      </c>
      <c r="B75" s="48" t="s">
        <v>36</v>
      </c>
      <c r="C75" s="7">
        <v>2500</v>
      </c>
      <c r="D75" s="7"/>
      <c r="E75" s="7"/>
      <c r="F75" s="7"/>
      <c r="G75" s="7">
        <f t="shared" si="2"/>
        <v>2500</v>
      </c>
    </row>
    <row r="76" spans="1:7" ht="22.5" x14ac:dyDescent="0.2">
      <c r="A76" s="15">
        <v>153</v>
      </c>
      <c r="B76" s="48" t="s">
        <v>37</v>
      </c>
      <c r="C76" s="7">
        <v>8500</v>
      </c>
      <c r="D76" s="7"/>
      <c r="E76" s="7"/>
      <c r="F76" s="7"/>
      <c r="G76" s="7">
        <f t="shared" si="2"/>
        <v>8500</v>
      </c>
    </row>
    <row r="77" spans="1:7" ht="22.5" x14ac:dyDescent="0.2">
      <c r="A77" s="15">
        <v>155</v>
      </c>
      <c r="B77" s="48" t="s">
        <v>38</v>
      </c>
      <c r="C77" s="7">
        <v>95000</v>
      </c>
      <c r="D77" s="7"/>
      <c r="E77" s="7"/>
      <c r="F77" s="7"/>
      <c r="G77" s="7">
        <f t="shared" si="2"/>
        <v>95000</v>
      </c>
    </row>
    <row r="78" spans="1:7" ht="22.5" x14ac:dyDescent="0.2">
      <c r="A78" s="15">
        <v>161</v>
      </c>
      <c r="B78" s="48" t="s">
        <v>86</v>
      </c>
      <c r="C78" s="7">
        <v>5000</v>
      </c>
      <c r="D78" s="7"/>
      <c r="E78" s="7"/>
      <c r="F78" s="7"/>
      <c r="G78" s="7">
        <f t="shared" si="2"/>
        <v>5000</v>
      </c>
    </row>
    <row r="79" spans="1:7" ht="22.5" x14ac:dyDescent="0.2">
      <c r="A79" s="15">
        <v>164</v>
      </c>
      <c r="B79" s="48" t="s">
        <v>39</v>
      </c>
      <c r="C79" s="7">
        <v>50000</v>
      </c>
      <c r="D79" s="7"/>
      <c r="E79" s="7"/>
      <c r="F79" s="7"/>
      <c r="G79" s="7">
        <f t="shared" si="2"/>
        <v>50000</v>
      </c>
    </row>
    <row r="80" spans="1:7" ht="22.5" x14ac:dyDescent="0.2">
      <c r="A80" s="15" t="s">
        <v>87</v>
      </c>
      <c r="B80" s="48" t="s">
        <v>40</v>
      </c>
      <c r="C80" s="7">
        <v>10000</v>
      </c>
      <c r="D80" s="7"/>
      <c r="E80" s="7"/>
      <c r="F80" s="7"/>
      <c r="G80" s="7">
        <f t="shared" si="2"/>
        <v>10000</v>
      </c>
    </row>
    <row r="81" spans="1:7" ht="22.5" x14ac:dyDescent="0.2">
      <c r="A81" s="15">
        <v>169</v>
      </c>
      <c r="B81" s="48" t="s">
        <v>88</v>
      </c>
      <c r="C81" s="7">
        <v>5500</v>
      </c>
      <c r="D81" s="7"/>
      <c r="E81" s="7"/>
      <c r="F81" s="7"/>
      <c r="G81" s="7">
        <f t="shared" si="2"/>
        <v>5500</v>
      </c>
    </row>
    <row r="82" spans="1:7" ht="22.5" x14ac:dyDescent="0.2">
      <c r="A82" s="15">
        <v>182</v>
      </c>
      <c r="B82" s="48" t="s">
        <v>89</v>
      </c>
      <c r="C82" s="7">
        <v>15000</v>
      </c>
      <c r="D82" s="7"/>
      <c r="E82" s="7"/>
      <c r="F82" s="7"/>
      <c r="G82" s="7">
        <f t="shared" si="2"/>
        <v>15000</v>
      </c>
    </row>
    <row r="83" spans="1:7" x14ac:dyDescent="0.2">
      <c r="A83" s="15">
        <v>183</v>
      </c>
      <c r="B83" s="48" t="s">
        <v>41</v>
      </c>
      <c r="C83" s="7">
        <v>25000</v>
      </c>
      <c r="D83" s="7"/>
      <c r="E83" s="7"/>
      <c r="F83" s="7"/>
      <c r="G83" s="7">
        <f t="shared" si="2"/>
        <v>25000</v>
      </c>
    </row>
    <row r="84" spans="1:7" x14ac:dyDescent="0.2">
      <c r="A84" s="15">
        <v>185</v>
      </c>
      <c r="B84" s="48" t="s">
        <v>42</v>
      </c>
      <c r="C84" s="7">
        <v>6500</v>
      </c>
      <c r="D84" s="7"/>
      <c r="E84" s="7"/>
      <c r="F84" s="7"/>
      <c r="G84" s="7">
        <f t="shared" si="2"/>
        <v>6500</v>
      </c>
    </row>
    <row r="85" spans="1:7" ht="22.5" x14ac:dyDescent="0.2">
      <c r="A85" s="15">
        <v>186</v>
      </c>
      <c r="B85" s="48" t="s">
        <v>43</v>
      </c>
      <c r="C85" s="7">
        <v>15000</v>
      </c>
      <c r="D85" s="7"/>
      <c r="E85" s="7"/>
      <c r="F85" s="7"/>
      <c r="G85" s="7">
        <f t="shared" si="2"/>
        <v>15000</v>
      </c>
    </row>
    <row r="86" spans="1:7" ht="22.5" x14ac:dyDescent="0.2">
      <c r="A86" s="15">
        <v>189</v>
      </c>
      <c r="B86" s="48" t="s">
        <v>44</v>
      </c>
      <c r="C86" s="7">
        <v>932956.29</v>
      </c>
      <c r="D86" s="7"/>
      <c r="E86" s="7"/>
      <c r="F86" s="7"/>
      <c r="G86" s="7">
        <f t="shared" si="2"/>
        <v>932956.29</v>
      </c>
    </row>
    <row r="87" spans="1:7" ht="22.5" x14ac:dyDescent="0.2">
      <c r="A87" s="15">
        <v>191</v>
      </c>
      <c r="B87" s="48" t="s">
        <v>90</v>
      </c>
      <c r="C87" s="7">
        <v>200</v>
      </c>
      <c r="D87" s="7"/>
      <c r="E87" s="7"/>
      <c r="F87" s="7"/>
      <c r="G87" s="7">
        <f t="shared" si="2"/>
        <v>200</v>
      </c>
    </row>
    <row r="88" spans="1:7" ht="22.5" x14ac:dyDescent="0.2">
      <c r="A88" s="15" t="s">
        <v>91</v>
      </c>
      <c r="B88" s="48" t="s">
        <v>92</v>
      </c>
      <c r="C88" s="7">
        <v>500</v>
      </c>
      <c r="D88" s="7"/>
      <c r="E88" s="7"/>
      <c r="F88" s="7"/>
      <c r="G88" s="7">
        <f t="shared" si="2"/>
        <v>500</v>
      </c>
    </row>
    <row r="89" spans="1:7" ht="22.5" x14ac:dyDescent="0.2">
      <c r="A89" s="15">
        <f>195</f>
        <v>195</v>
      </c>
      <c r="B89" s="48" t="s">
        <v>93</v>
      </c>
      <c r="C89" s="7">
        <v>1500</v>
      </c>
      <c r="D89" s="7"/>
      <c r="E89" s="7"/>
      <c r="F89" s="7"/>
      <c r="G89" s="7">
        <f t="shared" si="2"/>
        <v>1500</v>
      </c>
    </row>
    <row r="90" spans="1:7" ht="22.5" x14ac:dyDescent="0.2">
      <c r="A90" s="15">
        <v>196</v>
      </c>
      <c r="B90" s="48" t="s">
        <v>45</v>
      </c>
      <c r="C90" s="7">
        <v>95000</v>
      </c>
      <c r="D90" s="7"/>
      <c r="E90" s="7"/>
      <c r="F90" s="7"/>
      <c r="G90" s="7">
        <f t="shared" si="2"/>
        <v>95000</v>
      </c>
    </row>
    <row r="91" spans="1:7" x14ac:dyDescent="0.2">
      <c r="A91" s="15">
        <v>197</v>
      </c>
      <c r="B91" s="48" t="s">
        <v>46</v>
      </c>
      <c r="C91" s="7">
        <v>55000</v>
      </c>
      <c r="D91" s="7"/>
      <c r="E91" s="7"/>
      <c r="F91" s="7"/>
      <c r="G91" s="7">
        <f t="shared" si="2"/>
        <v>55000</v>
      </c>
    </row>
    <row r="92" spans="1:7" ht="22.5" x14ac:dyDescent="0.2">
      <c r="A92" s="15">
        <v>199</v>
      </c>
      <c r="B92" s="49" t="s">
        <v>47</v>
      </c>
      <c r="C92" s="7">
        <v>150000</v>
      </c>
      <c r="D92" s="7"/>
      <c r="E92" s="7"/>
      <c r="F92" s="7"/>
      <c r="G92" s="7">
        <f t="shared" si="2"/>
        <v>150000</v>
      </c>
    </row>
    <row r="93" spans="1:7" x14ac:dyDescent="0.2">
      <c r="A93" s="15" t="s">
        <v>94</v>
      </c>
      <c r="B93" s="48" t="s">
        <v>48</v>
      </c>
      <c r="C93" s="7"/>
      <c r="D93" s="7"/>
      <c r="E93" s="7"/>
      <c r="F93" s="7"/>
      <c r="G93" s="7">
        <f t="shared" si="2"/>
        <v>0</v>
      </c>
    </row>
    <row r="94" spans="1:7" x14ac:dyDescent="0.2">
      <c r="A94" s="15">
        <v>211</v>
      </c>
      <c r="B94" s="48" t="s">
        <v>49</v>
      </c>
      <c r="C94" s="7">
        <v>250000</v>
      </c>
      <c r="D94" s="7"/>
      <c r="E94" s="7"/>
      <c r="F94" s="7"/>
      <c r="G94" s="7">
        <f t="shared" si="2"/>
        <v>250000</v>
      </c>
    </row>
    <row r="95" spans="1:7" ht="22.5" x14ac:dyDescent="0.2">
      <c r="A95" s="15" t="s">
        <v>95</v>
      </c>
      <c r="B95" s="48" t="s">
        <v>50</v>
      </c>
      <c r="C95" s="7">
        <v>100000</v>
      </c>
      <c r="D95" s="7"/>
      <c r="E95" s="7"/>
      <c r="F95" s="7"/>
      <c r="G95" s="7">
        <f t="shared" si="2"/>
        <v>100000</v>
      </c>
    </row>
    <row r="96" spans="1:7" x14ac:dyDescent="0.2">
      <c r="A96" s="15" t="s">
        <v>96</v>
      </c>
      <c r="B96" s="48" t="s">
        <v>51</v>
      </c>
      <c r="C96" s="7">
        <v>3500</v>
      </c>
      <c r="D96" s="7"/>
      <c r="E96" s="7"/>
      <c r="F96" s="7"/>
      <c r="G96" s="7">
        <f t="shared" si="2"/>
        <v>3500</v>
      </c>
    </row>
    <row r="97" spans="1:7" ht="22.5" x14ac:dyDescent="0.2">
      <c r="A97" s="15" t="s">
        <v>97</v>
      </c>
      <c r="B97" s="48" t="s">
        <v>52</v>
      </c>
      <c r="C97" s="7">
        <v>5000</v>
      </c>
      <c r="D97" s="7"/>
      <c r="E97" s="7"/>
      <c r="F97" s="7"/>
      <c r="G97" s="7">
        <f t="shared" si="2"/>
        <v>5000</v>
      </c>
    </row>
    <row r="98" spans="1:7" x14ac:dyDescent="0.2">
      <c r="A98" s="15">
        <v>245</v>
      </c>
      <c r="B98" s="48" t="s">
        <v>125</v>
      </c>
      <c r="C98" s="7">
        <v>15000</v>
      </c>
      <c r="D98" s="7"/>
      <c r="E98" s="7"/>
      <c r="F98" s="7"/>
      <c r="G98" s="7">
        <f t="shared" si="2"/>
        <v>15000</v>
      </c>
    </row>
    <row r="99" spans="1:7" x14ac:dyDescent="0.2">
      <c r="A99" s="15">
        <v>247</v>
      </c>
      <c r="B99" s="48" t="s">
        <v>53</v>
      </c>
      <c r="C99" s="7">
        <v>2500</v>
      </c>
      <c r="D99" s="7"/>
      <c r="E99" s="7"/>
      <c r="F99" s="7"/>
      <c r="G99" s="7">
        <f t="shared" si="2"/>
        <v>2500</v>
      </c>
    </row>
    <row r="100" spans="1:7" x14ac:dyDescent="0.2">
      <c r="A100" s="15">
        <v>262</v>
      </c>
      <c r="B100" s="48" t="s">
        <v>54</v>
      </c>
      <c r="C100" s="7">
        <v>100000</v>
      </c>
      <c r="D100" s="7"/>
      <c r="E100" s="7"/>
      <c r="F100" s="7"/>
      <c r="G100" s="7">
        <f t="shared" si="2"/>
        <v>100000</v>
      </c>
    </row>
    <row r="101" spans="1:7" ht="22.5" x14ac:dyDescent="0.2">
      <c r="A101" s="15">
        <v>266</v>
      </c>
      <c r="B101" s="48" t="s">
        <v>55</v>
      </c>
      <c r="C101" s="7">
        <v>24000</v>
      </c>
      <c r="D101" s="7"/>
      <c r="E101" s="7"/>
      <c r="F101" s="7"/>
      <c r="G101" s="7">
        <f t="shared" si="2"/>
        <v>24000</v>
      </c>
    </row>
    <row r="102" spans="1:7" ht="22.5" x14ac:dyDescent="0.2">
      <c r="A102" s="15" t="s">
        <v>98</v>
      </c>
      <c r="B102" s="48" t="s">
        <v>56</v>
      </c>
      <c r="C102" s="7">
        <v>5000</v>
      </c>
      <c r="D102" s="7"/>
      <c r="E102" s="7"/>
      <c r="F102" s="7"/>
      <c r="G102" s="7">
        <f t="shared" si="2"/>
        <v>5000</v>
      </c>
    </row>
    <row r="103" spans="1:7" ht="22.5" x14ac:dyDescent="0.2">
      <c r="A103" s="15">
        <v>268</v>
      </c>
      <c r="B103" s="48" t="s">
        <v>57</v>
      </c>
      <c r="C103" s="7">
        <v>35000</v>
      </c>
      <c r="D103" s="7"/>
      <c r="E103" s="7"/>
      <c r="F103" s="7"/>
      <c r="G103" s="7">
        <f t="shared" si="2"/>
        <v>35000</v>
      </c>
    </row>
    <row r="104" spans="1:7" x14ac:dyDescent="0.2">
      <c r="A104" s="15">
        <v>283</v>
      </c>
      <c r="B104" s="48" t="s">
        <v>58</v>
      </c>
      <c r="C104" s="7">
        <v>5000</v>
      </c>
      <c r="D104" s="7"/>
      <c r="E104" s="7"/>
      <c r="F104" s="7"/>
      <c r="G104" s="7">
        <f t="shared" si="2"/>
        <v>5000</v>
      </c>
    </row>
    <row r="105" spans="1:7" x14ac:dyDescent="0.2">
      <c r="A105" s="15" t="s">
        <v>99</v>
      </c>
      <c r="B105" s="48" t="s">
        <v>59</v>
      </c>
      <c r="C105" s="7">
        <v>5000</v>
      </c>
      <c r="D105" s="7"/>
      <c r="E105" s="7"/>
      <c r="F105" s="7"/>
      <c r="G105" s="7">
        <f t="shared" si="2"/>
        <v>5000</v>
      </c>
    </row>
    <row r="106" spans="1:7" ht="22.5" x14ac:dyDescent="0.2">
      <c r="A106" s="15" t="s">
        <v>100</v>
      </c>
      <c r="B106" s="48" t="s">
        <v>60</v>
      </c>
      <c r="C106" s="7">
        <v>3000</v>
      </c>
      <c r="D106" s="7"/>
      <c r="E106" s="7"/>
      <c r="F106" s="7"/>
      <c r="G106" s="7">
        <f t="shared" si="2"/>
        <v>3000</v>
      </c>
    </row>
    <row r="107" spans="1:7" ht="22.5" x14ac:dyDescent="0.2">
      <c r="A107" s="15">
        <v>294</v>
      </c>
      <c r="B107" s="48" t="s">
        <v>61</v>
      </c>
      <c r="C107" s="7">
        <v>250000</v>
      </c>
      <c r="D107" s="7"/>
      <c r="E107" s="7"/>
      <c r="F107" s="7"/>
      <c r="G107" s="7">
        <f t="shared" si="2"/>
        <v>250000</v>
      </c>
    </row>
    <row r="108" spans="1:7" ht="22.5" x14ac:dyDescent="0.2">
      <c r="A108" s="15" t="s">
        <v>101</v>
      </c>
      <c r="B108" s="48" t="s">
        <v>62</v>
      </c>
      <c r="C108" s="7">
        <v>15000</v>
      </c>
      <c r="D108" s="7"/>
      <c r="E108" s="7"/>
      <c r="F108" s="7"/>
      <c r="G108" s="7">
        <f t="shared" si="2"/>
        <v>15000</v>
      </c>
    </row>
    <row r="109" spans="1:7" x14ac:dyDescent="0.2">
      <c r="A109" s="43" t="s">
        <v>102</v>
      </c>
      <c r="B109" s="50" t="s">
        <v>63</v>
      </c>
      <c r="C109" s="7"/>
      <c r="D109" s="7"/>
      <c r="E109" s="7"/>
      <c r="F109" s="7"/>
      <c r="G109" s="7">
        <f t="shared" si="2"/>
        <v>0</v>
      </c>
    </row>
    <row r="110" spans="1:7" x14ac:dyDescent="0.2">
      <c r="A110" s="15">
        <v>322</v>
      </c>
      <c r="B110" s="48" t="s">
        <v>64</v>
      </c>
      <c r="C110" s="7">
        <v>35000</v>
      </c>
      <c r="D110" s="7"/>
      <c r="E110" s="7"/>
      <c r="F110" s="7"/>
      <c r="G110" s="7">
        <f t="shared" si="2"/>
        <v>35000</v>
      </c>
    </row>
    <row r="111" spans="1:7" ht="22.5" x14ac:dyDescent="0.2">
      <c r="A111" s="15">
        <v>324</v>
      </c>
      <c r="B111" s="48" t="s">
        <v>80</v>
      </c>
      <c r="C111" s="7">
        <v>20000</v>
      </c>
      <c r="D111" s="7"/>
      <c r="E111" s="7"/>
      <c r="F111" s="7"/>
      <c r="G111" s="7">
        <f t="shared" si="2"/>
        <v>20000</v>
      </c>
    </row>
    <row r="112" spans="1:7" x14ac:dyDescent="0.2">
      <c r="A112" s="15">
        <v>328</v>
      </c>
      <c r="B112" s="48" t="s">
        <v>65</v>
      </c>
      <c r="C112" s="7">
        <v>25000</v>
      </c>
      <c r="D112" s="7"/>
      <c r="E112" s="7"/>
      <c r="F112" s="7"/>
      <c r="G112" s="7">
        <f t="shared" si="2"/>
        <v>25000</v>
      </c>
    </row>
    <row r="113" spans="1:7" x14ac:dyDescent="0.2">
      <c r="A113" s="15">
        <v>329</v>
      </c>
      <c r="B113" s="48"/>
      <c r="C113" s="7"/>
      <c r="D113" s="7"/>
      <c r="E113" s="7"/>
      <c r="F113" s="7"/>
      <c r="G113" s="7">
        <f t="shared" si="2"/>
        <v>0</v>
      </c>
    </row>
    <row r="114" spans="1:7" x14ac:dyDescent="0.2">
      <c r="A114" s="43" t="s">
        <v>103</v>
      </c>
      <c r="B114" s="48" t="s">
        <v>66</v>
      </c>
      <c r="C114" s="7"/>
      <c r="D114" s="7"/>
      <c r="E114" s="7"/>
      <c r="F114" s="7"/>
      <c r="G114" s="7">
        <f t="shared" si="2"/>
        <v>0</v>
      </c>
    </row>
    <row r="115" spans="1:7" ht="22.5" x14ac:dyDescent="0.2">
      <c r="A115" s="15" t="s">
        <v>104</v>
      </c>
      <c r="B115" s="48" t="s">
        <v>67</v>
      </c>
      <c r="C115" s="7">
        <v>80510.5</v>
      </c>
      <c r="D115" s="7"/>
      <c r="E115" s="7"/>
      <c r="F115" s="7"/>
      <c r="G115" s="7">
        <f t="shared" si="2"/>
        <v>80510.5</v>
      </c>
    </row>
    <row r="116" spans="1:7" ht="22.5" x14ac:dyDescent="0.2">
      <c r="A116" s="15">
        <v>415</v>
      </c>
      <c r="B116" s="48" t="s">
        <v>68</v>
      </c>
      <c r="C116" s="7">
        <v>0</v>
      </c>
      <c r="D116" s="7"/>
      <c r="E116" s="7"/>
      <c r="F116" s="7"/>
      <c r="G116" s="7">
        <f t="shared" si="2"/>
        <v>0</v>
      </c>
    </row>
    <row r="117" spans="1:7" ht="22.5" x14ac:dyDescent="0.2">
      <c r="A117" s="15">
        <v>419</v>
      </c>
      <c r="B117" s="48" t="s">
        <v>69</v>
      </c>
      <c r="C117" s="7">
        <v>378294.52</v>
      </c>
      <c r="D117" s="7"/>
      <c r="E117" s="7"/>
      <c r="F117" s="7"/>
      <c r="G117" s="7">
        <f t="shared" si="2"/>
        <v>378294.52</v>
      </c>
    </row>
    <row r="118" spans="1:7" ht="33.75" x14ac:dyDescent="0.2">
      <c r="A118" s="15">
        <v>472</v>
      </c>
      <c r="B118" s="48" t="s">
        <v>70</v>
      </c>
      <c r="C118" s="7">
        <v>85000</v>
      </c>
      <c r="D118" s="7"/>
      <c r="E118" s="7"/>
      <c r="F118" s="7"/>
      <c r="G118" s="7">
        <f t="shared" si="2"/>
        <v>85000</v>
      </c>
    </row>
    <row r="119" spans="1:7" ht="33.75" x14ac:dyDescent="0.2">
      <c r="A119" s="15"/>
      <c r="B119" s="48" t="s">
        <v>105</v>
      </c>
      <c r="C119" s="7"/>
      <c r="D119" s="7"/>
      <c r="E119" s="7"/>
      <c r="F119" s="7"/>
      <c r="G119" s="7">
        <f t="shared" si="2"/>
        <v>0</v>
      </c>
    </row>
    <row r="120" spans="1:7" ht="22.5" x14ac:dyDescent="0.2">
      <c r="A120" s="15"/>
      <c r="B120" s="48" t="s">
        <v>111</v>
      </c>
      <c r="C120" s="7">
        <v>0</v>
      </c>
      <c r="D120" s="7"/>
      <c r="E120" s="7"/>
      <c r="F120" s="7"/>
      <c r="G120" s="7">
        <f t="shared" ref="G120:G134" si="3">+C120</f>
        <v>0</v>
      </c>
    </row>
    <row r="121" spans="1:7" ht="22.5" x14ac:dyDescent="0.2">
      <c r="A121" s="15"/>
      <c r="B121" s="48" t="s">
        <v>112</v>
      </c>
      <c r="C121" s="7">
        <v>0</v>
      </c>
      <c r="D121" s="7"/>
      <c r="E121" s="7"/>
      <c r="F121" s="7"/>
      <c r="G121" s="7">
        <f t="shared" si="3"/>
        <v>0</v>
      </c>
    </row>
    <row r="122" spans="1:7" x14ac:dyDescent="0.2">
      <c r="A122" s="15"/>
      <c r="B122" s="48" t="s">
        <v>113</v>
      </c>
      <c r="C122" s="7">
        <v>0</v>
      </c>
      <c r="D122" s="7"/>
      <c r="E122" s="7"/>
      <c r="F122" s="7"/>
      <c r="G122" s="7">
        <f t="shared" si="3"/>
        <v>0</v>
      </c>
    </row>
    <row r="123" spans="1:7" ht="22.5" x14ac:dyDescent="0.2">
      <c r="A123" s="15"/>
      <c r="B123" s="48" t="s">
        <v>114</v>
      </c>
      <c r="C123" s="7">
        <v>0</v>
      </c>
      <c r="D123" s="7"/>
      <c r="E123" s="7"/>
      <c r="F123" s="7"/>
      <c r="G123" s="7">
        <f t="shared" si="3"/>
        <v>0</v>
      </c>
    </row>
    <row r="124" spans="1:7" x14ac:dyDescent="0.2">
      <c r="A124" s="15"/>
      <c r="B124" s="48" t="s">
        <v>115</v>
      </c>
      <c r="C124" s="7">
        <v>0</v>
      </c>
      <c r="D124" s="7"/>
      <c r="E124" s="7"/>
      <c r="F124" s="7"/>
      <c r="G124" s="7">
        <f t="shared" si="3"/>
        <v>0</v>
      </c>
    </row>
    <row r="125" spans="1:7" x14ac:dyDescent="0.2">
      <c r="A125" s="15"/>
      <c r="B125" s="48" t="s">
        <v>127</v>
      </c>
      <c r="C125" s="7">
        <v>0</v>
      </c>
      <c r="D125" s="7"/>
      <c r="E125" s="7"/>
      <c r="F125" s="7"/>
      <c r="G125" s="7">
        <f t="shared" si="3"/>
        <v>0</v>
      </c>
    </row>
    <row r="126" spans="1:7" x14ac:dyDescent="0.2">
      <c r="A126" s="15"/>
      <c r="B126" s="48" t="s">
        <v>116</v>
      </c>
      <c r="C126" s="7">
        <v>0</v>
      </c>
      <c r="D126" s="7"/>
      <c r="E126" s="7"/>
      <c r="F126" s="7"/>
      <c r="G126" s="7">
        <f t="shared" si="3"/>
        <v>0</v>
      </c>
    </row>
    <row r="127" spans="1:7" ht="33.75" x14ac:dyDescent="0.2">
      <c r="A127" s="15"/>
      <c r="B127" s="48" t="s">
        <v>134</v>
      </c>
      <c r="C127" s="7">
        <v>0</v>
      </c>
      <c r="D127" s="7"/>
      <c r="E127" s="7"/>
      <c r="F127" s="7"/>
      <c r="G127" s="7">
        <f t="shared" si="3"/>
        <v>0</v>
      </c>
    </row>
    <row r="128" spans="1:7" ht="22.5" x14ac:dyDescent="0.2">
      <c r="A128" s="15"/>
      <c r="B128" s="48" t="s">
        <v>117</v>
      </c>
      <c r="C128" s="7">
        <v>0</v>
      </c>
      <c r="D128" s="7"/>
      <c r="E128" s="7"/>
      <c r="F128" s="7"/>
      <c r="G128" s="7">
        <f t="shared" si="3"/>
        <v>0</v>
      </c>
    </row>
    <row r="129" spans="1:7" x14ac:dyDescent="0.2">
      <c r="A129" s="15"/>
      <c r="B129" s="48" t="s">
        <v>118</v>
      </c>
      <c r="C129" s="7">
        <v>0</v>
      </c>
      <c r="D129" s="7"/>
      <c r="E129" s="7"/>
      <c r="F129" s="7"/>
      <c r="G129" s="7">
        <f t="shared" si="3"/>
        <v>0</v>
      </c>
    </row>
    <row r="130" spans="1:7" x14ac:dyDescent="0.2">
      <c r="A130" s="15"/>
      <c r="B130" s="48" t="s">
        <v>119</v>
      </c>
      <c r="C130" s="7">
        <v>0</v>
      </c>
      <c r="D130" s="7"/>
      <c r="E130" s="7"/>
      <c r="F130" s="7"/>
      <c r="G130" s="7">
        <f t="shared" si="3"/>
        <v>0</v>
      </c>
    </row>
    <row r="131" spans="1:7" x14ac:dyDescent="0.2">
      <c r="A131" s="15"/>
      <c r="B131" s="48" t="s">
        <v>126</v>
      </c>
      <c r="C131" s="7">
        <v>0</v>
      </c>
      <c r="D131" s="7"/>
      <c r="E131" s="7"/>
      <c r="F131" s="7"/>
      <c r="G131" s="7">
        <f t="shared" si="3"/>
        <v>0</v>
      </c>
    </row>
    <row r="132" spans="1:7" ht="33.75" x14ac:dyDescent="0.2">
      <c r="A132" s="15"/>
      <c r="B132" s="48" t="s">
        <v>121</v>
      </c>
      <c r="C132" s="7"/>
      <c r="D132" s="7"/>
      <c r="E132" s="7"/>
      <c r="F132" s="7"/>
      <c r="G132" s="7">
        <f t="shared" si="3"/>
        <v>0</v>
      </c>
    </row>
    <row r="133" spans="1:7" ht="33.75" x14ac:dyDescent="0.2">
      <c r="A133" s="15"/>
      <c r="B133" s="48" t="s">
        <v>120</v>
      </c>
      <c r="C133" s="7"/>
      <c r="D133" s="7"/>
      <c r="E133" s="7"/>
      <c r="F133" s="7"/>
      <c r="G133" s="7">
        <f t="shared" si="3"/>
        <v>0</v>
      </c>
    </row>
    <row r="134" spans="1:7" ht="45" x14ac:dyDescent="0.2">
      <c r="A134" s="15"/>
      <c r="B134" s="48" t="s">
        <v>135</v>
      </c>
      <c r="C134" s="7">
        <v>163556.72</v>
      </c>
      <c r="D134" s="7"/>
      <c r="E134" s="7"/>
      <c r="F134" s="7"/>
      <c r="G134" s="7">
        <f t="shared" si="3"/>
        <v>163556.72</v>
      </c>
    </row>
    <row r="135" spans="1:7" x14ac:dyDescent="0.2">
      <c r="A135" s="15"/>
      <c r="B135" s="48" t="s">
        <v>136</v>
      </c>
      <c r="C135" s="7"/>
      <c r="D135" s="7"/>
      <c r="E135" s="7"/>
      <c r="F135" s="7"/>
      <c r="G135" s="7"/>
    </row>
    <row r="136" spans="1:7" ht="12.75" thickBot="1" x14ac:dyDescent="0.25">
      <c r="A136" s="44"/>
      <c r="B136" s="51" t="s">
        <v>71</v>
      </c>
      <c r="C136" s="62">
        <f>SUM(C54:C134)</f>
        <v>5035294.13</v>
      </c>
      <c r="D136" s="62">
        <f>SUM(D54:D134)</f>
        <v>0</v>
      </c>
      <c r="E136" s="62">
        <f>SUM(E54:E134)</f>
        <v>0</v>
      </c>
      <c r="F136" s="62">
        <f>SUM(F54:F134)</f>
        <v>0</v>
      </c>
      <c r="G136" s="62">
        <f>SUM(G54:G134)</f>
        <v>5035294.13</v>
      </c>
    </row>
    <row r="137" spans="1:7" ht="34.5" thickBot="1" x14ac:dyDescent="0.25">
      <c r="A137" s="24"/>
      <c r="B137" s="26" t="s">
        <v>130</v>
      </c>
      <c r="C137" s="25"/>
      <c r="D137" s="25"/>
      <c r="E137" s="25"/>
      <c r="F137" s="25"/>
      <c r="G137" s="25"/>
    </row>
  </sheetData>
  <mergeCells count="30">
    <mergeCell ref="B7:G7"/>
    <mergeCell ref="B41:G41"/>
    <mergeCell ref="B6:G6"/>
    <mergeCell ref="B1:G1"/>
    <mergeCell ref="B2:G2"/>
    <mergeCell ref="B3:G3"/>
    <mergeCell ref="B4:G4"/>
    <mergeCell ref="B5:G5"/>
    <mergeCell ref="B39:G39"/>
    <mergeCell ref="B8:G8"/>
    <mergeCell ref="B10:G10"/>
    <mergeCell ref="B11:G11"/>
    <mergeCell ref="B12:G12"/>
    <mergeCell ref="B13:G13"/>
    <mergeCell ref="B14:G14"/>
    <mergeCell ref="B15:G15"/>
    <mergeCell ref="B35:G35"/>
    <mergeCell ref="B36:G36"/>
    <mergeCell ref="B37:G37"/>
    <mergeCell ref="B38:G38"/>
    <mergeCell ref="B49:G49"/>
    <mergeCell ref="B51:F51"/>
    <mergeCell ref="B52:C52"/>
    <mergeCell ref="D52:F52"/>
    <mergeCell ref="B40:G40"/>
    <mergeCell ref="B42:G42"/>
    <mergeCell ref="B44:G44"/>
    <mergeCell ref="B45:G45"/>
    <mergeCell ref="B47:G47"/>
    <mergeCell ref="B48:G48"/>
  </mergeCells>
  <pageMargins left="1.4960629921259843" right="0.70866141732283472" top="1.3779527559055118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INGRESOS Y EGRESOS</vt:lpstr>
      <vt:lpstr>TRANSFERENCIA Y MODIFICACIONES</vt:lpstr>
      <vt:lpstr>'INGRESOS Y EGRESOS'!Área_de_impresión</vt:lpstr>
      <vt:lpstr>'TRANSFERENCIA Y MODIFICACIONES'!Área_de_impresión</vt:lpstr>
      <vt:lpstr>'INGRESOS Y EGRESOS'!Títulos_a_imprimir</vt:lpstr>
      <vt:lpstr>'TRANSFERENCIA Y MODIFICACIONES'!Títulos_a_imprimir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FINANCIERO</cp:lastModifiedBy>
  <cp:lastPrinted>2024-09-24T00:32:26Z</cp:lastPrinted>
  <dcterms:created xsi:type="dcterms:W3CDTF">2018-09-06T17:50:41Z</dcterms:created>
  <dcterms:modified xsi:type="dcterms:W3CDTF">2024-09-24T00:32:37Z</dcterms:modified>
</cp:coreProperties>
</file>